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/>
  <bookViews>
    <workbookView xWindow="0" yWindow="0" windowWidth="25200" windowHeight="11970" tabRatio="658"/>
  </bookViews>
  <sheets>
    <sheet name="Design Tool" sheetId="1" r:id="rId1"/>
    <sheet name="Data Sheet" sheetId="2" state="hidden" r:id="rId2"/>
    <sheet name="Berechnungen" sheetId="3" state="hidden" r:id="rId3"/>
    <sheet name="Units" sheetId="4" state="hidden" r:id="rId4"/>
    <sheet name="Quotation data" sheetId="5" state="hidden" r:id="rId5"/>
    <sheet name="Identnumbers" sheetId="6" state="hidden" r:id="rId6"/>
  </sheets>
  <definedNames>
    <definedName name="flow">Berechnungen!$I$52:$J$52</definedName>
    <definedName name="FU">Berechnungen!$C$83:$C$85</definedName>
    <definedName name="maxoppress">Berechnungen!$F$48:$F$49</definedName>
    <definedName name="Maxoppress1">Berechnungen!$F$48:$F$50</definedName>
    <definedName name="Motor">Berechnungen!$C$77:$C$79</definedName>
    <definedName name="pressure">Berechnungen!$I$51:$J$51</definedName>
    <definedName name="RR">Berechnungen!$C$47:$C$72</definedName>
    <definedName name="temp">Berechnungen!$I$53:$J$53</definedName>
    <definedName name="Z_CA5DEE9B_8C07_4C66_8968_31FD351A4FB5_.wvu.Cols" localSheetId="1" hidden="1">'Data Sheet'!$K:$XFD</definedName>
    <definedName name="Z_CA5DEE9B_8C07_4C66_8968_31FD351A4FB5_.wvu.Cols" localSheetId="0" hidden="1">'Design Tool'!$C:$C,'Design Tool'!$R:$XFC</definedName>
    <definedName name="Z_CA5DEE9B_8C07_4C66_8968_31FD351A4FB5_.wvu.Cols" localSheetId="4" hidden="1">'Quotation data'!$H:$XFD</definedName>
    <definedName name="Z_CA5DEE9B_8C07_4C66_8968_31FD351A4FB5_.wvu.Rows" localSheetId="1" hidden="1">'Data Sheet'!$70:$1048576,'Data Sheet'!$69:$69</definedName>
    <definedName name="Z_CA5DEE9B_8C07_4C66_8968_31FD351A4FB5_.wvu.Rows" localSheetId="0" hidden="1">'Design Tool'!$40:$1048576,'Design Tool'!$39:$39</definedName>
    <definedName name="Z_CA5DEE9B_8C07_4C66_8968_31FD351A4FB5_.wvu.Rows" localSheetId="4" hidden="1">'Quotation data'!$47:$1048576,'Quotation data'!$42:$46</definedName>
  </definedNames>
  <calcPr calcId="145621"/>
  <customWorkbookViews>
    <customWorkbookView name="wieland1 - Persönliche Ansicht" guid="{CA5DEE9B-8C07-4C66-8968-31FD351A4FB5}" mergeInterval="0" personalView="1" maximized="1" xWindow="1" yWindow="1" windowWidth="1276" windowHeight="794" tabRatio="658" activeSheetId="6"/>
  </customWorkbookViews>
</workbook>
</file>

<file path=xl/calcChain.xml><?xml version="1.0" encoding="utf-8"?>
<calcChain xmlns="http://schemas.openxmlformats.org/spreadsheetml/2006/main">
  <c r="D14" i="3" l="1"/>
  <c r="C140" i="6" l="1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39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13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87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61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36" i="6"/>
  <c r="C37" i="6"/>
  <c r="C38" i="6"/>
  <c r="C35" i="6"/>
  <c r="F32" i="5" l="1"/>
  <c r="B32" i="5"/>
  <c r="C12" i="5"/>
  <c r="B29" i="5"/>
  <c r="F29" i="5"/>
  <c r="F26" i="5"/>
  <c r="F23" i="5"/>
  <c r="F14" i="5"/>
  <c r="B14" i="5"/>
  <c r="B26" i="5"/>
  <c r="B23" i="5"/>
  <c r="C10" i="5"/>
  <c r="P15" i="1" l="1"/>
  <c r="F28" i="2" l="1"/>
  <c r="C5" i="2"/>
  <c r="F18" i="2"/>
  <c r="F16" i="2"/>
  <c r="F14" i="2"/>
  <c r="F12" i="2"/>
  <c r="F20" i="2"/>
  <c r="F32" i="2"/>
  <c r="F30" i="2"/>
  <c r="F38" i="2"/>
  <c r="F40" i="2"/>
  <c r="F44" i="2"/>
  <c r="E32" i="2"/>
  <c r="E30" i="2"/>
  <c r="E26" i="2"/>
  <c r="E24" i="2"/>
  <c r="E54" i="2"/>
  <c r="E52" i="2"/>
  <c r="E46" i="2"/>
  <c r="E44" i="2"/>
  <c r="E20" i="2"/>
  <c r="E16" i="2"/>
  <c r="D4" i="3" l="1"/>
  <c r="E8" i="3"/>
  <c r="J30" i="3"/>
  <c r="J29" i="3"/>
  <c r="J26" i="3"/>
  <c r="J25" i="3"/>
  <c r="J24" i="3"/>
  <c r="J23" i="3"/>
  <c r="J22" i="3"/>
  <c r="E30" i="3"/>
  <c r="E29" i="3"/>
  <c r="E26" i="3"/>
  <c r="E25" i="3"/>
  <c r="E24" i="3"/>
  <c r="E23" i="3"/>
  <c r="E22" i="3"/>
  <c r="E9" i="3"/>
  <c r="E7" i="3"/>
  <c r="E16" i="3"/>
  <c r="E11" i="3"/>
  <c r="E12" i="3"/>
  <c r="E6" i="3"/>
  <c r="E5" i="3"/>
  <c r="C5" i="4" l="1"/>
  <c r="Q19" i="1"/>
  <c r="Q30" i="1"/>
  <c r="O8" i="1"/>
  <c r="I15" i="1"/>
  <c r="I26" i="1"/>
  <c r="E23" i="1"/>
  <c r="E10" i="1"/>
  <c r="Q20" i="1"/>
  <c r="I16" i="1"/>
  <c r="I27" i="1"/>
  <c r="E24" i="1"/>
  <c r="E11" i="1"/>
  <c r="G49" i="3"/>
  <c r="G48" i="3"/>
  <c r="Q15" i="1"/>
  <c r="Q13" i="1"/>
  <c r="Q12" i="1"/>
  <c r="Q11" i="1"/>
  <c r="Q14" i="1"/>
  <c r="E31" i="1"/>
  <c r="E7" i="4" l="1"/>
  <c r="E4" i="4"/>
  <c r="D6" i="3"/>
  <c r="I21" i="3" s="1"/>
  <c r="D15" i="3"/>
  <c r="D13" i="3"/>
  <c r="D12" i="3"/>
  <c r="D11" i="3"/>
  <c r="D10" i="3"/>
  <c r="D9" i="3"/>
  <c r="D8" i="3"/>
  <c r="P12" i="1" l="1"/>
  <c r="F49" i="3"/>
  <c r="F50" i="3"/>
  <c r="P14" i="1"/>
  <c r="F48" i="3"/>
  <c r="E14" i="2"/>
  <c r="E18" i="2"/>
  <c r="D7" i="3"/>
  <c r="D5" i="3"/>
  <c r="D22" i="3" l="1"/>
  <c r="D30" i="3"/>
  <c r="D32" i="3"/>
  <c r="I22" i="3"/>
  <c r="I27" i="3" s="1"/>
  <c r="H16" i="1" l="1"/>
  <c r="D27" i="3"/>
  <c r="I30" i="3"/>
  <c r="D24" i="3"/>
  <c r="D23" i="3"/>
  <c r="I24" i="3"/>
  <c r="I23" i="3"/>
  <c r="G51" i="3" l="1"/>
  <c r="D28" i="3" s="1"/>
  <c r="D33" i="3"/>
  <c r="D38" i="3" s="1"/>
  <c r="I28" i="3" l="1"/>
  <c r="P28" i="1"/>
  <c r="I25" i="3"/>
  <c r="I26" i="3" s="1"/>
  <c r="D25" i="3"/>
  <c r="I32" i="3"/>
  <c r="I33" i="3" s="1"/>
  <c r="I38" i="3" s="1"/>
  <c r="E42" i="2" l="1"/>
  <c r="I47" i="3"/>
  <c r="P11" i="1" s="1"/>
  <c r="D24" i="1" s="1"/>
  <c r="D26" i="3"/>
  <c r="D16" i="3" l="1"/>
  <c r="E12" i="2"/>
  <c r="I40" i="3"/>
  <c r="I39" i="3"/>
  <c r="D39" i="3"/>
  <c r="D40" i="3"/>
  <c r="D29" i="3" l="1"/>
  <c r="D31" i="3" s="1"/>
  <c r="D34" i="3" s="1"/>
  <c r="D35" i="3" s="1"/>
  <c r="I29" i="3"/>
  <c r="I31" i="3" s="1"/>
  <c r="I34" i="3" s="1"/>
  <c r="I35" i="3" s="1"/>
  <c r="D36" i="3" l="1"/>
  <c r="I36" i="3"/>
  <c r="I37" i="3" s="1"/>
  <c r="D37" i="3" l="1"/>
  <c r="H32" i="1"/>
  <c r="F54" i="3" s="1"/>
  <c r="C9" i="5" s="1"/>
  <c r="C36" i="5" l="1"/>
  <c r="C32" i="5"/>
  <c r="C37" i="5"/>
  <c r="C33" i="5"/>
  <c r="C34" i="5"/>
  <c r="C35" i="5"/>
  <c r="C29" i="5"/>
  <c r="C23" i="5"/>
  <c r="C15" i="5"/>
  <c r="C20" i="5"/>
  <c r="C14" i="5"/>
  <c r="C21" i="5"/>
  <c r="C17" i="5"/>
  <c r="C24" i="5"/>
  <c r="C18" i="5"/>
  <c r="C26" i="5"/>
  <c r="C27" i="5"/>
  <c r="C19" i="5"/>
  <c r="C30" i="5"/>
  <c r="C16" i="5"/>
  <c r="P36" i="1"/>
  <c r="E62" i="2"/>
  <c r="E58" i="2"/>
  <c r="P30" i="1"/>
  <c r="H26" i="1"/>
  <c r="P27" i="1"/>
  <c r="E32" i="5" s="1"/>
  <c r="E64" i="2"/>
  <c r="P32" i="1"/>
  <c r="E60" i="2"/>
  <c r="P38" i="1"/>
  <c r="P29" i="1"/>
  <c r="P34" i="1"/>
  <c r="E36" i="2"/>
  <c r="H15" i="1"/>
  <c r="P37" i="1"/>
  <c r="D10" i="1"/>
  <c r="N8" i="1"/>
  <c r="E28" i="2" s="1"/>
  <c r="E38" i="2"/>
  <c r="D23" i="1"/>
  <c r="E40" i="2"/>
  <c r="E56" i="2"/>
  <c r="P35" i="1"/>
  <c r="E9" i="5" l="1"/>
  <c r="E14" i="5"/>
  <c r="E23" i="5"/>
  <c r="E26" i="5"/>
  <c r="E29" i="5"/>
</calcChain>
</file>

<file path=xl/sharedStrings.xml><?xml version="1.0" encoding="utf-8"?>
<sst xmlns="http://schemas.openxmlformats.org/spreadsheetml/2006/main" count="2177" uniqueCount="444">
  <si>
    <t>%</t>
  </si>
  <si>
    <t>ppm</t>
  </si>
  <si>
    <t>rpm</t>
  </si>
  <si>
    <t>kW</t>
  </si>
  <si>
    <t>dp</t>
  </si>
  <si>
    <t>n</t>
  </si>
  <si>
    <t>Recovery Rate</t>
  </si>
  <si>
    <t>RR</t>
  </si>
  <si>
    <r>
      <t>K</t>
    </r>
    <r>
      <rPr>
        <vertAlign val="subscript"/>
        <sz val="10"/>
        <rFont val="Arial"/>
        <family val="2"/>
      </rPr>
      <t>E</t>
    </r>
  </si>
  <si>
    <t>€/kWh</t>
  </si>
  <si>
    <r>
      <t>CO</t>
    </r>
    <r>
      <rPr>
        <vertAlign val="subscript"/>
        <sz val="10"/>
        <rFont val="Arial"/>
        <family val="2"/>
      </rPr>
      <t>2 saving/a</t>
    </r>
  </si>
  <si>
    <t>€/a</t>
  </si>
  <si>
    <t>Flow</t>
  </si>
  <si>
    <t>Pressure</t>
  </si>
  <si>
    <t>High Pressure Feed</t>
  </si>
  <si>
    <t>Sea Water</t>
  </si>
  <si>
    <t>Salinity</t>
  </si>
  <si>
    <t>Membrane</t>
  </si>
  <si>
    <t>Permeate</t>
  </si>
  <si>
    <t>Low Pressure Brine</t>
  </si>
  <si>
    <t>High Pressure Brine</t>
  </si>
  <si>
    <t>Temperature</t>
  </si>
  <si>
    <t>Minimum feed pressure</t>
  </si>
  <si>
    <t>Minimum operating pressure</t>
  </si>
  <si>
    <t>Maximum operating pressure</t>
  </si>
  <si>
    <t>Minimum back pressure</t>
  </si>
  <si>
    <t>Maximum water temperature</t>
  </si>
  <si>
    <t>All calculated data presented does not represent guaranteed performance.</t>
  </si>
  <si>
    <t>Minimum rotational speed</t>
  </si>
  <si>
    <t>Input</t>
  </si>
  <si>
    <t>Permeate Flow</t>
  </si>
  <si>
    <t>Membran pressure drop</t>
  </si>
  <si>
    <t>Energy Data</t>
  </si>
  <si>
    <t>Energy costs</t>
  </si>
  <si>
    <t>Energy efficiency</t>
  </si>
  <si>
    <t>CO2 savings</t>
  </si>
  <si>
    <t>Energy cost savings</t>
  </si>
  <si>
    <t>t/a</t>
  </si>
  <si>
    <t>Frequency Converter efficiency</t>
  </si>
  <si>
    <t>Electrical Motor efficiency</t>
  </si>
  <si>
    <t>Rated Power</t>
  </si>
  <si>
    <t>Specific energy costs</t>
  </si>
  <si>
    <t>Brine discharge pressure</t>
  </si>
  <si>
    <t>Berechnungen</t>
  </si>
  <si>
    <t>Recovery  Rate</t>
  </si>
  <si>
    <t>Membrane Feed Pressure</t>
  </si>
  <si>
    <r>
      <t>p</t>
    </r>
    <r>
      <rPr>
        <vertAlign val="subscript"/>
        <sz val="10"/>
        <rFont val="Arial"/>
        <family val="2"/>
      </rPr>
      <t>s</t>
    </r>
  </si>
  <si>
    <r>
      <t>Q</t>
    </r>
    <r>
      <rPr>
        <vertAlign val="subscript"/>
        <sz val="10"/>
        <rFont val="Arial"/>
        <family val="2"/>
      </rPr>
      <t>perm</t>
    </r>
  </si>
  <si>
    <t>Feed Temperature</t>
  </si>
  <si>
    <r>
      <t>T</t>
    </r>
    <r>
      <rPr>
        <vertAlign val="subscript"/>
        <sz val="10"/>
        <rFont val="Arial"/>
        <family val="2"/>
      </rPr>
      <t>feed</t>
    </r>
  </si>
  <si>
    <t>Feed Salinity</t>
  </si>
  <si>
    <r>
      <t>S</t>
    </r>
    <r>
      <rPr>
        <vertAlign val="subscript"/>
        <sz val="10"/>
        <rFont val="Arial"/>
        <family val="2"/>
      </rPr>
      <t>feed</t>
    </r>
  </si>
  <si>
    <t>Membrane Pressure Drop</t>
  </si>
  <si>
    <r>
      <rPr>
        <sz val="10"/>
        <rFont val="Calibri"/>
        <family val="2"/>
      </rPr>
      <t>Δp</t>
    </r>
    <r>
      <rPr>
        <vertAlign val="subscript"/>
        <sz val="10"/>
        <rFont val="Calibri"/>
        <family val="2"/>
      </rPr>
      <t>v</t>
    </r>
  </si>
  <si>
    <r>
      <t>p</t>
    </r>
    <r>
      <rPr>
        <vertAlign val="subscript"/>
        <sz val="10"/>
        <rFont val="Arial"/>
        <family val="2"/>
      </rPr>
      <t>back</t>
    </r>
  </si>
  <si>
    <r>
      <t>η</t>
    </r>
    <r>
      <rPr>
        <vertAlign val="subscript"/>
        <sz val="10"/>
        <rFont val="Arial"/>
        <family val="2"/>
      </rPr>
      <t>EM</t>
    </r>
  </si>
  <si>
    <r>
      <t>η</t>
    </r>
    <r>
      <rPr>
        <vertAlign val="subscript"/>
        <sz val="10"/>
        <rFont val="Arial"/>
        <family val="2"/>
      </rPr>
      <t>FU</t>
    </r>
  </si>
  <si>
    <t>Energy Costs</t>
  </si>
  <si>
    <t>Front pressure</t>
  </si>
  <si>
    <r>
      <t>p</t>
    </r>
    <r>
      <rPr>
        <vertAlign val="subscript"/>
        <sz val="10"/>
        <rFont val="Arial"/>
        <family val="2"/>
      </rPr>
      <t>feed lp</t>
    </r>
  </si>
  <si>
    <r>
      <t>Q</t>
    </r>
    <r>
      <rPr>
        <vertAlign val="subscript"/>
        <sz val="10"/>
        <rFont val="Arial"/>
        <family val="2"/>
      </rPr>
      <t>feed hp</t>
    </r>
  </si>
  <si>
    <t>Feed High Pressure</t>
  </si>
  <si>
    <r>
      <t>Q</t>
    </r>
    <r>
      <rPr>
        <vertAlign val="subscript"/>
        <sz val="10"/>
        <rFont val="Arial"/>
        <family val="2"/>
      </rPr>
      <t>brine hp</t>
    </r>
  </si>
  <si>
    <t>Brine High Pressure</t>
  </si>
  <si>
    <t>Feed Low Pressure</t>
  </si>
  <si>
    <r>
      <t>Q</t>
    </r>
    <r>
      <rPr>
        <vertAlign val="subscript"/>
        <sz val="10"/>
        <rFont val="Arial"/>
        <family val="2"/>
      </rPr>
      <t>feed lp</t>
    </r>
  </si>
  <si>
    <t>gegeben</t>
  </si>
  <si>
    <r>
      <t>V</t>
    </r>
    <r>
      <rPr>
        <vertAlign val="subscript"/>
        <sz val="10"/>
        <rFont val="Arial"/>
        <family val="2"/>
      </rPr>
      <t>pump</t>
    </r>
  </si>
  <si>
    <t>Volume pump</t>
  </si>
  <si>
    <t>mechanical efficiency</t>
  </si>
  <si>
    <r>
      <rPr>
        <sz val="10"/>
        <rFont val="Calibri"/>
        <family val="2"/>
      </rPr>
      <t>η</t>
    </r>
    <r>
      <rPr>
        <vertAlign val="subscript"/>
        <sz val="10"/>
        <rFont val="Arial"/>
        <family val="2"/>
      </rPr>
      <t>mech</t>
    </r>
  </si>
  <si>
    <r>
      <rPr>
        <sz val="10"/>
        <rFont val="Calibri"/>
        <family val="2"/>
      </rPr>
      <t>η</t>
    </r>
    <r>
      <rPr>
        <vertAlign val="subscript"/>
        <sz val="10"/>
        <rFont val="Arial"/>
        <family val="2"/>
      </rPr>
      <t>vol pump</t>
    </r>
  </si>
  <si>
    <t>volumetric efficiency pump</t>
  </si>
  <si>
    <t>Rotational speed</t>
  </si>
  <si>
    <t>difference pressure pump</t>
  </si>
  <si>
    <r>
      <t>p</t>
    </r>
    <r>
      <rPr>
        <vertAlign val="subscript"/>
        <sz val="10"/>
        <rFont val="Arial"/>
        <family val="2"/>
      </rPr>
      <t>brine hp</t>
    </r>
  </si>
  <si>
    <t>Power Pump</t>
  </si>
  <si>
    <r>
      <t>P</t>
    </r>
    <r>
      <rPr>
        <vertAlign val="subscript"/>
        <sz val="10"/>
        <rFont val="Arial"/>
        <family val="2"/>
      </rPr>
      <t>pump</t>
    </r>
  </si>
  <si>
    <t>Volume ERD</t>
  </si>
  <si>
    <r>
      <t>V</t>
    </r>
    <r>
      <rPr>
        <vertAlign val="subscript"/>
        <sz val="10"/>
        <rFont val="Arial"/>
        <family val="2"/>
      </rPr>
      <t>ERD</t>
    </r>
  </si>
  <si>
    <t>Power ERD</t>
  </si>
  <si>
    <r>
      <t>P</t>
    </r>
    <r>
      <rPr>
        <vertAlign val="subscript"/>
        <sz val="10"/>
        <rFont val="Arial"/>
        <family val="2"/>
      </rPr>
      <t>ERD</t>
    </r>
  </si>
  <si>
    <r>
      <t>P</t>
    </r>
    <r>
      <rPr>
        <vertAlign val="subscript"/>
        <sz val="10"/>
        <rFont val="Arial"/>
        <family val="2"/>
      </rPr>
      <t>shaft</t>
    </r>
  </si>
  <si>
    <t>Power shaft</t>
  </si>
  <si>
    <t>Electrical Power</t>
  </si>
  <si>
    <r>
      <t>P</t>
    </r>
    <r>
      <rPr>
        <vertAlign val="subscript"/>
        <sz val="10"/>
        <rFont val="Arial"/>
        <family val="2"/>
      </rPr>
      <t>el</t>
    </r>
  </si>
  <si>
    <r>
      <t>SEC</t>
    </r>
    <r>
      <rPr>
        <vertAlign val="subscript"/>
        <sz val="10"/>
        <rFont val="Arial"/>
        <family val="2"/>
      </rPr>
      <t>el</t>
    </r>
  </si>
  <si>
    <t>specific Energy Costs</t>
  </si>
  <si>
    <r>
      <t>m</t>
    </r>
    <r>
      <rPr>
        <vertAlign val="subscript"/>
        <sz val="10"/>
        <rFont val="Arial"/>
        <family val="2"/>
      </rPr>
      <t>CO2/kWh</t>
    </r>
  </si>
  <si>
    <t>CO2 equivalent</t>
  </si>
  <si>
    <r>
      <t>E</t>
    </r>
    <r>
      <rPr>
        <vertAlign val="subscript"/>
        <sz val="10"/>
        <rFont val="Arial"/>
        <family val="2"/>
      </rPr>
      <t>save el/a</t>
    </r>
  </si>
  <si>
    <t>Energy savings</t>
  </si>
  <si>
    <r>
      <t>K</t>
    </r>
    <r>
      <rPr>
        <vertAlign val="subscript"/>
        <sz val="10"/>
        <rFont val="Arial"/>
        <family val="2"/>
      </rPr>
      <t>E save/a</t>
    </r>
  </si>
  <si>
    <r>
      <t>K</t>
    </r>
    <r>
      <rPr>
        <vertAlign val="subscript"/>
        <sz val="10"/>
        <rFont val="Arial"/>
        <family val="2"/>
      </rPr>
      <t>E spec</t>
    </r>
  </si>
  <si>
    <r>
      <t>Max. Membrane Pressure p</t>
    </r>
    <r>
      <rPr>
        <vertAlign val="subscript"/>
        <sz val="10"/>
        <rFont val="Arial"/>
        <family val="2"/>
      </rPr>
      <t>s max</t>
    </r>
  </si>
  <si>
    <t>= wird dem Kunden angezeigt</t>
  </si>
  <si>
    <t>= erforderliche Eingabe</t>
  </si>
  <si>
    <t>kWh/a</t>
  </si>
  <si>
    <t>Maximum rotational speed</t>
  </si>
  <si>
    <t>= required Input</t>
  </si>
  <si>
    <t>volumetric efficiency motor</t>
  </si>
  <si>
    <r>
      <rPr>
        <sz val="10"/>
        <rFont val="Calibri"/>
        <family val="2"/>
      </rPr>
      <t>η</t>
    </r>
    <r>
      <rPr>
        <vertAlign val="subscript"/>
        <sz val="10"/>
        <rFont val="Arial"/>
        <family val="2"/>
      </rPr>
      <t>vol motor</t>
    </r>
  </si>
  <si>
    <t>Total Lubrication Flow</t>
  </si>
  <si>
    <r>
      <t>Q</t>
    </r>
    <r>
      <rPr>
        <vertAlign val="subscript"/>
        <sz val="10"/>
        <rFont val="Arial"/>
        <family val="2"/>
      </rPr>
      <t>lub</t>
    </r>
  </si>
  <si>
    <t>Brine Low Pressure</t>
  </si>
  <si>
    <r>
      <t>Q</t>
    </r>
    <r>
      <rPr>
        <vertAlign val="subscript"/>
        <sz val="10"/>
        <rFont val="Arial"/>
        <family val="2"/>
      </rPr>
      <t>brine lp</t>
    </r>
  </si>
  <si>
    <r>
      <t>SALINO</t>
    </r>
    <r>
      <rPr>
        <b/>
        <sz val="11"/>
        <rFont val="Calibri"/>
        <family val="2"/>
      </rPr>
      <t>®</t>
    </r>
  </si>
  <si>
    <t>Power savings</t>
  </si>
  <si>
    <t>angebotene RR</t>
  </si>
  <si>
    <t>Feed Water</t>
  </si>
  <si>
    <r>
      <t>p</t>
    </r>
    <r>
      <rPr>
        <vertAlign val="subscript"/>
        <sz val="10"/>
        <rFont val="Arial"/>
        <family val="2"/>
      </rPr>
      <t>s max</t>
    </r>
  </si>
  <si>
    <t>Unit Selection</t>
  </si>
  <si>
    <t>€/m³</t>
  </si>
  <si>
    <t>kWh/m³</t>
  </si>
  <si>
    <t>pressure</t>
  </si>
  <si>
    <t>flow</t>
  </si>
  <si>
    <t>temperature</t>
  </si>
  <si>
    <t>Umrechnungsfaktoren</t>
  </si>
  <si>
    <t>cm3</t>
  </si>
  <si>
    <t>kg/kWh</t>
  </si>
  <si>
    <t>bar</t>
  </si>
  <si>
    <t>kWh/m3</t>
  </si>
  <si>
    <t>€/m3</t>
  </si>
  <si>
    <t>psi</t>
  </si>
  <si>
    <t>m³/h</t>
  </si>
  <si>
    <t>gpm</t>
  </si>
  <si>
    <r>
      <t>Number of SALINO</t>
    </r>
    <r>
      <rPr>
        <sz val="10"/>
        <rFont val="Calibri"/>
        <family val="2"/>
      </rPr>
      <t>®</t>
    </r>
    <r>
      <rPr>
        <sz val="10"/>
        <rFont val="Arial"/>
        <family val="2"/>
      </rPr>
      <t>s required</t>
    </r>
  </si>
  <si>
    <t>calculated Rotational speed</t>
  </si>
  <si>
    <t>Rotational speed per SALINO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</si>
  <si>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savings</t>
    </r>
  </si>
  <si>
    <t>Anzahl notw. SALINOs</t>
  </si>
  <si>
    <t>Minimum feed pressure f(n)</t>
  </si>
  <si>
    <t>Limiting Values for Operation</t>
  </si>
  <si>
    <t>Input from Calculation</t>
  </si>
  <si>
    <r>
      <t>SALINO</t>
    </r>
    <r>
      <rPr>
        <b/>
        <vertAlign val="superscript"/>
        <sz val="16"/>
        <rFont val="Arial"/>
        <family val="2"/>
      </rPr>
      <t>®</t>
    </r>
    <r>
      <rPr>
        <b/>
        <sz val="16"/>
        <rFont val="Arial"/>
        <family val="2"/>
      </rPr>
      <t xml:space="preserve"> Design Tool</t>
    </r>
  </si>
  <si>
    <t>for RO-Desalination</t>
  </si>
  <si>
    <r>
      <t>SALINO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Pressure Center</t>
    </r>
  </si>
  <si>
    <t xml:space="preserve">Project:  </t>
  </si>
  <si>
    <t>Duplex Stainless Steel</t>
  </si>
  <si>
    <t>Feed TDS:</t>
  </si>
  <si>
    <t>Overall Recovery:</t>
  </si>
  <si>
    <t>(Membrane) Feed Pressure:</t>
  </si>
  <si>
    <t>Feed Temperature:</t>
  </si>
  <si>
    <r>
      <t>Number of SALINO</t>
    </r>
    <r>
      <rPr>
        <sz val="10"/>
        <rFont val="Calibri"/>
        <family val="2"/>
      </rPr>
      <t>®</t>
    </r>
    <r>
      <rPr>
        <sz val="10"/>
        <rFont val="Arial"/>
        <family val="2"/>
      </rPr>
      <t>s required:</t>
    </r>
  </si>
  <si>
    <t>Feed water flow:</t>
  </si>
  <si>
    <t>Brine flow:</t>
  </si>
  <si>
    <t>Membrane Pressure drop:</t>
  </si>
  <si>
    <t>Energy costs:</t>
  </si>
  <si>
    <t>Manufactured in:</t>
  </si>
  <si>
    <t>Electrical Motor efficiency:</t>
  </si>
  <si>
    <t>Frequency Converter efficiency:</t>
  </si>
  <si>
    <t>Rated Power:</t>
  </si>
  <si>
    <t>Rated Maximum Power:</t>
  </si>
  <si>
    <t>Energy efficiency: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</si>
  <si>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savings:</t>
    </r>
  </si>
  <si>
    <t>Energy cost savings:</t>
  </si>
  <si>
    <t xml:space="preserve"> for prior membrane calculation</t>
  </si>
  <si>
    <t>Permeate Flow:</t>
  </si>
  <si>
    <r>
      <t>Operating Data</t>
    </r>
    <r>
      <rPr>
        <sz val="10"/>
        <color theme="0"/>
        <rFont val="Arial"/>
        <family val="2"/>
      </rPr>
      <t xml:space="preserve"> (calculated)</t>
    </r>
  </si>
  <si>
    <r>
      <t>SALINO</t>
    </r>
    <r>
      <rPr>
        <vertAlign val="superscript"/>
        <sz val="18"/>
        <color theme="0"/>
        <rFont val="Calibri"/>
        <family val="2"/>
      </rPr>
      <t>®</t>
    </r>
    <r>
      <rPr>
        <sz val="18"/>
        <color theme="0"/>
        <rFont val="Arial"/>
        <family val="2"/>
      </rPr>
      <t xml:space="preserve"> Pressure Center</t>
    </r>
  </si>
  <si>
    <t>Minimum feed pressure:</t>
  </si>
  <si>
    <t>Minimum operating pressure:</t>
  </si>
  <si>
    <t>Maximum operating pressure:</t>
  </si>
  <si>
    <t>Minimum back pressure:</t>
  </si>
  <si>
    <t>Maximum water temperature:</t>
  </si>
  <si>
    <t>Created:</t>
  </si>
  <si>
    <t>Rotational speed:</t>
  </si>
  <si>
    <t>Warning</t>
  </si>
  <si>
    <t>Item</t>
  </si>
  <si>
    <t>Description</t>
  </si>
  <si>
    <t>Part no.</t>
  </si>
  <si>
    <t>Qty.</t>
  </si>
  <si>
    <t>Unit</t>
  </si>
  <si>
    <t>Material: Duplex 1.4462</t>
  </si>
  <si>
    <t>PC</t>
  </si>
  <si>
    <t>01602805</t>
  </si>
  <si>
    <t>Motoren</t>
  </si>
  <si>
    <t>Standard</t>
  </si>
  <si>
    <t>Non-Standard</t>
  </si>
  <si>
    <t>Standard IE3</t>
  </si>
  <si>
    <t>PC 14</t>
  </si>
  <si>
    <t>PC 20</t>
  </si>
  <si>
    <t>PC 23</t>
  </si>
  <si>
    <t>01548647</t>
  </si>
  <si>
    <t>01548648</t>
  </si>
  <si>
    <t>01548649</t>
  </si>
  <si>
    <t>01548650</t>
  </si>
  <si>
    <t>01548651</t>
  </si>
  <si>
    <t>01548652</t>
  </si>
  <si>
    <t>01548653</t>
  </si>
  <si>
    <t>01548654</t>
  </si>
  <si>
    <t>01544220</t>
  </si>
  <si>
    <t>01548655</t>
  </si>
  <si>
    <t>01548656</t>
  </si>
  <si>
    <t>01548657</t>
  </si>
  <si>
    <t>01548658</t>
  </si>
  <si>
    <t>01548659</t>
  </si>
  <si>
    <t>01548660</t>
  </si>
  <si>
    <t>01544221</t>
  </si>
  <si>
    <t>01550908</t>
  </si>
  <si>
    <t>01550909</t>
  </si>
  <si>
    <t>01550910</t>
  </si>
  <si>
    <t>01550911</t>
  </si>
  <si>
    <t>01550912</t>
  </si>
  <si>
    <t>01550913</t>
  </si>
  <si>
    <t>01550914</t>
  </si>
  <si>
    <t>01550915</t>
  </si>
  <si>
    <t>01550916</t>
  </si>
  <si>
    <t>01550917</t>
  </si>
  <si>
    <t>01602760</t>
  </si>
  <si>
    <t>01602761</t>
  </si>
  <si>
    <t>01602762</t>
  </si>
  <si>
    <t>01602763</t>
  </si>
  <si>
    <t>01602764</t>
  </si>
  <si>
    <t>01602765</t>
  </si>
  <si>
    <t>01602766</t>
  </si>
  <si>
    <t>01602797</t>
  </si>
  <si>
    <t>01602798</t>
  </si>
  <si>
    <t>01602799</t>
  </si>
  <si>
    <t>01602800</t>
  </si>
  <si>
    <t>01602801</t>
  </si>
  <si>
    <t>01602802</t>
  </si>
  <si>
    <t>01602803</t>
  </si>
  <si>
    <t>01602804</t>
  </si>
  <si>
    <t>01602806</t>
  </si>
  <si>
    <t>01602807</t>
  </si>
  <si>
    <t>01602808</t>
  </si>
  <si>
    <t>01602809</t>
  </si>
  <si>
    <t>01602810</t>
  </si>
  <si>
    <t>01602811</t>
  </si>
  <si>
    <t>01602812</t>
  </si>
  <si>
    <t>01602813</t>
  </si>
  <si>
    <t>01602814</t>
  </si>
  <si>
    <t>01602815</t>
  </si>
  <si>
    <t>00025</t>
  </si>
  <si>
    <t>00026</t>
  </si>
  <si>
    <t>00027</t>
  </si>
  <si>
    <t>00028</t>
  </si>
  <si>
    <t>00029</t>
  </si>
  <si>
    <t>00030</t>
  </si>
  <si>
    <t>00031</t>
  </si>
  <si>
    <t>00032</t>
  </si>
  <si>
    <t>00033</t>
  </si>
  <si>
    <t>00034</t>
  </si>
  <si>
    <t>00035</t>
  </si>
  <si>
    <t>00036</t>
  </si>
  <si>
    <t>00037</t>
  </si>
  <si>
    <t>00038</t>
  </si>
  <si>
    <t>00039</t>
  </si>
  <si>
    <t>00040</t>
  </si>
  <si>
    <t>00041</t>
  </si>
  <si>
    <t>00042</t>
  </si>
  <si>
    <t>00043</t>
  </si>
  <si>
    <t>00044</t>
  </si>
  <si>
    <t>00045</t>
  </si>
  <si>
    <t>00046</t>
  </si>
  <si>
    <t>00047</t>
  </si>
  <si>
    <t>00048</t>
  </si>
  <si>
    <t>00049</t>
  </si>
  <si>
    <t>00050</t>
  </si>
  <si>
    <t>00100</t>
  </si>
  <si>
    <t>FU</t>
  </si>
  <si>
    <t>exclusive</t>
  </si>
  <si>
    <t>Electric drive</t>
  </si>
  <si>
    <t>barshaft pump</t>
  </si>
  <si>
    <t>Mat.-Nr.</t>
  </si>
  <si>
    <t>bare shaft pump</t>
  </si>
  <si>
    <t>Motor Mat.-Nr.</t>
  </si>
  <si>
    <t>Motordaten Zeile 1</t>
  </si>
  <si>
    <t>Squirrel-Cage-Motor</t>
  </si>
  <si>
    <t>Motorbezeichnung</t>
  </si>
  <si>
    <t>Motordaten Zeile 2</t>
  </si>
  <si>
    <t/>
  </si>
  <si>
    <t>Frame material: grey cast iron</t>
  </si>
  <si>
    <t>motor protection 3 PTC thermistors</t>
  </si>
  <si>
    <t>paint finish resistant to salt-laden air</t>
  </si>
  <si>
    <t>Electric motor according to customers specification</t>
  </si>
  <si>
    <t>Frequency Converter</t>
  </si>
  <si>
    <t>IP55 * 6pole * BG200L * IMB35 * 22kW (50 Hz) * 26,5kW (60Hz)</t>
  </si>
  <si>
    <t>3 AC 50Hz 400VD/690VY * 3 AC 60Hz 460VD</t>
  </si>
  <si>
    <t>IP55 * 4pole * BG200L * IMB35 * 30kW (50 Hz) * 34,5kW (60Hz)</t>
  </si>
  <si>
    <t>IP55 * 4pole * BG225S * IMB35 * 37kW (50 Hz) * 42,5kW (60Hz)</t>
  </si>
  <si>
    <t>MAT.-NR. 22 kW Motor</t>
  </si>
  <si>
    <t>MAT.-NR. 30 kW Motor</t>
  </si>
  <si>
    <t>MAT.-NR. 37 kW Motor</t>
  </si>
  <si>
    <t>Motordaten Zeile 3</t>
  </si>
  <si>
    <t>Motordaten Zeile 4</t>
  </si>
  <si>
    <t>Motordaten Zeile 5</t>
  </si>
  <si>
    <t>Motordaten Zeile 6</t>
  </si>
  <si>
    <t>FU-Mat.-Nr.</t>
  </si>
  <si>
    <t>FU-Bezeichnung</t>
  </si>
  <si>
    <t>FU-Daten Zeile 1</t>
  </si>
  <si>
    <t>MAT.-NR. Pumpdrive R 22 kW</t>
  </si>
  <si>
    <t>MAT.-NR. Pumpdrive R 30 kW</t>
  </si>
  <si>
    <t>MAT.-NR. Pumpdrive R 37 kW</t>
  </si>
  <si>
    <t>non-standard Motor</t>
  </si>
  <si>
    <t>non-standard FU</t>
  </si>
  <si>
    <t>Frequency Converter according to customers specification</t>
  </si>
  <si>
    <t>Premium Efficiency IE3; self ventilated; Isulation 155(F) to 130(B)</t>
  </si>
  <si>
    <t>Mat.-Nr. Pumpenträger</t>
  </si>
  <si>
    <t>Mat.-Nr. Kupplung</t>
  </si>
  <si>
    <t>Mat.-Nr. Montagerahmen</t>
  </si>
  <si>
    <t>01554712</t>
  </si>
  <si>
    <t>MAT.-NR. BoWex 37 kW</t>
  </si>
  <si>
    <t>01553705</t>
  </si>
  <si>
    <t>01554711</t>
  </si>
  <si>
    <t>01553706</t>
  </si>
  <si>
    <t>01553707</t>
  </si>
  <si>
    <t>01553708</t>
  </si>
  <si>
    <t>01553709</t>
  </si>
  <si>
    <t>01553710</t>
  </si>
  <si>
    <t>01553711</t>
  </si>
  <si>
    <t>01553712</t>
  </si>
  <si>
    <t>01553713</t>
  </si>
  <si>
    <t>01553714</t>
  </si>
  <si>
    <t>01553715</t>
  </si>
  <si>
    <t>01553716</t>
  </si>
  <si>
    <t>01553717</t>
  </si>
  <si>
    <t>01553718</t>
  </si>
  <si>
    <t>01553719</t>
  </si>
  <si>
    <t>01553720</t>
  </si>
  <si>
    <t>01553721</t>
  </si>
  <si>
    <t>01553722</t>
  </si>
  <si>
    <t>01553723</t>
  </si>
  <si>
    <t>01553724</t>
  </si>
  <si>
    <t>01553725</t>
  </si>
  <si>
    <t>01553726</t>
  </si>
  <si>
    <t>01553727</t>
  </si>
  <si>
    <t>01553728</t>
  </si>
  <si>
    <t>01553729</t>
  </si>
  <si>
    <t>01553730</t>
  </si>
  <si>
    <t>01553731</t>
  </si>
  <si>
    <t>01553732</t>
  </si>
  <si>
    <t>01553733</t>
  </si>
  <si>
    <t>01553734</t>
  </si>
  <si>
    <t>01553735</t>
  </si>
  <si>
    <t>01553736</t>
  </si>
  <si>
    <t>01553737</t>
  </si>
  <si>
    <t>01553738</t>
  </si>
  <si>
    <t>01553739</t>
  </si>
  <si>
    <t>01553740</t>
  </si>
  <si>
    <t>01553741</t>
  </si>
  <si>
    <t>01553742</t>
  </si>
  <si>
    <t>01553743</t>
  </si>
  <si>
    <t>01553744</t>
  </si>
  <si>
    <t>01553745</t>
  </si>
  <si>
    <t>01553746</t>
  </si>
  <si>
    <t>01553747</t>
  </si>
  <si>
    <t>01553748</t>
  </si>
  <si>
    <t>01553749</t>
  </si>
  <si>
    <t>01553750</t>
  </si>
  <si>
    <t>01553751</t>
  </si>
  <si>
    <t>01553752</t>
  </si>
  <si>
    <t>01553753</t>
  </si>
  <si>
    <t>01553754</t>
  </si>
  <si>
    <t>01553755</t>
  </si>
  <si>
    <t>01553756</t>
  </si>
  <si>
    <t>MAT.-NR. Pumpenträger PG450</t>
  </si>
  <si>
    <t>MAT.-NR. Montagerahmen 225S</t>
  </si>
  <si>
    <t>Kupplungsbezeichnung</t>
  </si>
  <si>
    <t>Pumpenträgerbezeichnung</t>
  </si>
  <si>
    <t>Montagerahmenbezeichnung</t>
  </si>
  <si>
    <t>Bellhousing PG400</t>
  </si>
  <si>
    <t>Bellhousing PG450</t>
  </si>
  <si>
    <t>Mountingframe 270x600x1560</t>
  </si>
  <si>
    <t>Mountingframe 50x600x1672</t>
  </si>
  <si>
    <t>Flexible Coupling BoWex M-65</t>
  </si>
  <si>
    <t>Bellhousing according to motor dimensions</t>
  </si>
  <si>
    <t>Flexible Coupling according to motor dimensions</t>
  </si>
  <si>
    <t>Spaltenindex</t>
  </si>
  <si>
    <t>Mountingframe according to motor dimensions</t>
  </si>
  <si>
    <t>Frequency Converter according customers specification</t>
  </si>
  <si>
    <t>3AC 380-480 V ±10 % * 50/60 Hz</t>
  </si>
  <si>
    <t>FU-Daten Zeile 2</t>
  </si>
  <si>
    <t>FU-Daten Zeile 3</t>
  </si>
  <si>
    <t>Frequency Converter PumpDrive R (KSB202)</t>
  </si>
  <si>
    <t>FU-Daten Zeile 4</t>
  </si>
  <si>
    <t>Dimensions [mm] H=650 x B=242 x T=260</t>
  </si>
  <si>
    <t>Dimensions [mm] H=680 x B=308 x T=310</t>
  </si>
  <si>
    <t>Maximum ambient temperature +50°C</t>
  </si>
  <si>
    <t>PC 20 (30 kW)</t>
  </si>
  <si>
    <t>PC 14 (22 kW)</t>
  </si>
  <si>
    <t>PC 23 (37 kW)</t>
  </si>
  <si>
    <t>01700401</t>
  </si>
  <si>
    <t>01700402</t>
  </si>
  <si>
    <t>01700403</t>
  </si>
  <si>
    <t>01700404</t>
  </si>
  <si>
    <t>01700405</t>
  </si>
  <si>
    <t>01700406</t>
  </si>
  <si>
    <t>01700408</t>
  </si>
  <si>
    <t>01700409</t>
  </si>
  <si>
    <t>01700410</t>
  </si>
  <si>
    <t>01700411</t>
  </si>
  <si>
    <t>01700412</t>
  </si>
  <si>
    <t>01700413</t>
  </si>
  <si>
    <t>01700414</t>
  </si>
  <si>
    <t>01700415</t>
  </si>
  <si>
    <t>01700416</t>
  </si>
  <si>
    <t>01700417</t>
  </si>
  <si>
    <t>01700418</t>
  </si>
  <si>
    <t>01700419</t>
  </si>
  <si>
    <t>01700420</t>
  </si>
  <si>
    <t>01700421</t>
  </si>
  <si>
    <t>01700422</t>
  </si>
  <si>
    <t>01700423</t>
  </si>
  <si>
    <t>01700424</t>
  </si>
  <si>
    <t>01700425</t>
  </si>
  <si>
    <t>01700426</t>
  </si>
  <si>
    <t>01700427</t>
  </si>
  <si>
    <t>01704526</t>
  </si>
  <si>
    <t>01704538</t>
  </si>
  <si>
    <t>01704539</t>
  </si>
  <si>
    <t>01704540</t>
  </si>
  <si>
    <t>01704541</t>
  </si>
  <si>
    <t>01704542</t>
  </si>
  <si>
    <t>01704543</t>
  </si>
  <si>
    <t>01704544</t>
  </si>
  <si>
    <t>01704545</t>
  </si>
  <si>
    <t>01704546</t>
  </si>
  <si>
    <t>01704547</t>
  </si>
  <si>
    <t>01704548</t>
  </si>
  <si>
    <t>01704549</t>
  </si>
  <si>
    <t>01704550</t>
  </si>
  <si>
    <t>01704551</t>
  </si>
  <si>
    <t>01704552</t>
  </si>
  <si>
    <t>01704553</t>
  </si>
  <si>
    <t>01704554</t>
  </si>
  <si>
    <t>01704555</t>
  </si>
  <si>
    <t>01704556</t>
  </si>
  <si>
    <t>01704557</t>
  </si>
  <si>
    <t>01704558</t>
  </si>
  <si>
    <t>01704559</t>
  </si>
  <si>
    <t>01704560</t>
  </si>
  <si>
    <t>01704561</t>
  </si>
  <si>
    <t>01704562</t>
  </si>
  <si>
    <t>SALINO® hydraulic efficiency</t>
  </si>
  <si>
    <t>www.salinnova.com</t>
  </si>
  <si>
    <t>IP20 * 22 kW * I at 400V=44,0A</t>
  </si>
  <si>
    <t>IP20 * 30 kW * I at 400V=61,0A</t>
  </si>
  <si>
    <t>IP20 * 37 kW * I at 400V=73,0A</t>
  </si>
  <si>
    <t xml:space="preserve">engineered by </t>
  </si>
  <si>
    <t>engineered by</t>
  </si>
  <si>
    <r>
      <t>SALINO</t>
    </r>
    <r>
      <rPr>
        <b/>
        <vertAlign val="superscript"/>
        <sz val="18"/>
        <rFont val="Arial"/>
        <family val="2"/>
      </rPr>
      <t>®</t>
    </r>
    <r>
      <rPr>
        <b/>
        <sz val="18"/>
        <rFont val="Arial"/>
        <family val="2"/>
      </rPr>
      <t xml:space="preserve"> 250 Pressure Center  </t>
    </r>
    <r>
      <rPr>
        <b/>
        <sz val="18"/>
        <rFont val="Calibri"/>
        <family val="2"/>
      </rPr>
      <t>̶</t>
    </r>
    <r>
      <rPr>
        <b/>
        <sz val="18"/>
        <rFont val="Arial"/>
        <family val="2"/>
      </rPr>
      <t xml:space="preserve">  Design Tool</t>
    </r>
  </si>
  <si>
    <r>
      <rPr>
        <b/>
        <i/>
        <sz val="16"/>
        <color rgb="FFFF3300"/>
        <rFont val="Arial"/>
        <family val="2"/>
      </rPr>
      <t>SALINO</t>
    </r>
    <r>
      <rPr>
        <b/>
        <i/>
        <sz val="16"/>
        <color rgb="FFFF3300"/>
        <rFont val="Calibri"/>
        <family val="2"/>
      </rPr>
      <t>®</t>
    </r>
    <r>
      <rPr>
        <b/>
        <i/>
        <sz val="16"/>
        <color rgb="FFFF3300"/>
        <rFont val="Arial"/>
        <family val="2"/>
      </rPr>
      <t xml:space="preserve"> 250 Pressure Center</t>
    </r>
    <r>
      <rPr>
        <b/>
        <sz val="16"/>
        <color rgb="FFFF3300"/>
        <rFont val="Arial"/>
        <family val="2"/>
      </rPr>
      <t xml:space="preserve"> </t>
    </r>
    <r>
      <rPr>
        <b/>
        <sz val="16"/>
        <color theme="1"/>
        <rFont val="Arial"/>
        <family val="2"/>
      </rPr>
      <t>scope of supply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</si>
</sst>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</font>
    <font>
      <vertAlign val="subscript"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b/>
      <sz val="11"/>
      <name val="Arial"/>
      <family val="2"/>
    </font>
    <font>
      <vertAlign val="subscript"/>
      <sz val="10"/>
      <name val="Calibri"/>
      <family val="2"/>
    </font>
    <font>
      <b/>
      <sz val="11"/>
      <name val="Calibri"/>
      <family val="2"/>
    </font>
    <font>
      <sz val="10"/>
      <color rgb="FFFF0000"/>
      <name val="Arial"/>
      <family val="2"/>
    </font>
    <font>
      <b/>
      <sz val="18"/>
      <name val="Calibri"/>
      <family val="2"/>
    </font>
    <font>
      <b/>
      <sz val="10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18"/>
      <color theme="1" tint="0.3499862666707357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vertAlign val="superscript"/>
      <sz val="16"/>
      <name val="Arial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vertAlign val="superscript"/>
      <sz val="18"/>
      <color theme="0"/>
      <name val="Calibri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u/>
      <sz val="12"/>
      <color theme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9"/>
      <color rgb="FF0000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Calibri"/>
      <family val="2"/>
    </font>
    <font>
      <b/>
      <sz val="9"/>
      <name val="Calibri"/>
      <family val="2"/>
    </font>
    <font>
      <b/>
      <sz val="12"/>
      <name val="Arial"/>
      <family val="2"/>
    </font>
    <font>
      <sz val="9"/>
      <name val="Calibri"/>
      <family val="2"/>
    </font>
    <font>
      <b/>
      <sz val="16"/>
      <color rgb="FFFF3300"/>
      <name val="Arial"/>
      <family val="2"/>
    </font>
    <font>
      <b/>
      <i/>
      <sz val="16"/>
      <color rgb="FFFF3300"/>
      <name val="Arial"/>
      <family val="2"/>
    </font>
    <font>
      <b/>
      <i/>
      <sz val="16"/>
      <color rgb="FFFF3300"/>
      <name val="Calibri"/>
      <family val="2"/>
    </font>
    <font>
      <b/>
      <sz val="16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gradientFill degree="180">
        <stop position="0">
          <color theme="0"/>
        </stop>
        <stop position="1">
          <color theme="4"/>
        </stop>
      </gradient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theme="1" tint="0.34998626667073579"/>
      </bottom>
      <diagonal/>
    </border>
    <border>
      <left/>
      <right/>
      <top style="medium">
        <color indexed="64"/>
      </top>
      <bottom style="medium">
        <color theme="1" tint="0.34998626667073579"/>
      </bottom>
      <diagonal/>
    </border>
    <border>
      <left/>
      <right style="medium">
        <color indexed="64"/>
      </right>
      <top style="medium">
        <color indexed="64"/>
      </top>
      <bottom style="medium">
        <color theme="1" tint="0.34998626667073579"/>
      </bottom>
      <diagonal/>
    </border>
  </borders>
  <cellStyleXfs count="45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34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</cellStyleXfs>
  <cellXfs count="222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3" fillId="0" borderId="0" xfId="0" applyFont="1"/>
    <xf numFmtId="0" fontId="4" fillId="0" borderId="0" xfId="0" applyFont="1"/>
    <xf numFmtId="0" fontId="4" fillId="0" borderId="0" xfId="0" applyFont="1" applyAlignment="1"/>
    <xf numFmtId="2" fontId="0" fillId="0" borderId="0" xfId="0" applyNumberFormat="1"/>
    <xf numFmtId="2" fontId="0" fillId="34" borderId="0" xfId="0" applyNumberFormat="1" applyFill="1"/>
    <xf numFmtId="0" fontId="2" fillId="0" borderId="0" xfId="0" applyFont="1" applyAlignment="1">
      <alignment horizontal="right"/>
    </xf>
    <xf numFmtId="2" fontId="0" fillId="35" borderId="0" xfId="0" applyNumberFormat="1" applyFill="1"/>
    <xf numFmtId="0" fontId="0" fillId="0" borderId="0" xfId="0" applyFill="1"/>
    <xf numFmtId="49" fontId="2" fillId="0" borderId="0" xfId="0" applyNumberFormat="1" applyFont="1"/>
    <xf numFmtId="0" fontId="2" fillId="0" borderId="18" xfId="0" applyFont="1" applyBorder="1" applyAlignment="1">
      <alignment vertical="center"/>
    </xf>
    <xf numFmtId="0" fontId="24" fillId="0" borderId="0" xfId="0" applyFont="1" applyBorder="1" applyAlignment="1"/>
    <xf numFmtId="0" fontId="24" fillId="0" borderId="0" xfId="0" applyFont="1" applyBorder="1" applyAlignment="1">
      <alignment horizontal="right"/>
    </xf>
    <xf numFmtId="49" fontId="29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2" fontId="0" fillId="34" borderId="0" xfId="0" applyNumberFormat="1" applyFill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1" fontId="2" fillId="0" borderId="10" xfId="0" applyNumberFormat="1" applyFont="1" applyBorder="1" applyAlignment="1">
      <alignment horizontal="right" vertical="center"/>
    </xf>
    <xf numFmtId="2" fontId="0" fillId="0" borderId="0" xfId="0" applyNumberFormat="1" applyFill="1"/>
    <xf numFmtId="16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2" fillId="34" borderId="0" xfId="0" applyNumberFormat="1" applyFont="1" applyFill="1" applyBorder="1" applyAlignment="1" applyProtection="1">
      <alignment vertical="center"/>
      <protection locked="0"/>
    </xf>
    <xf numFmtId="0" fontId="2" fillId="0" borderId="12" xfId="0" applyNumberFormat="1" applyFont="1" applyBorder="1" applyAlignment="1">
      <alignment vertical="center"/>
    </xf>
    <xf numFmtId="164" fontId="2" fillId="0" borderId="0" xfId="0" applyNumberFormat="1" applyFont="1" applyBorder="1" applyAlignment="1"/>
    <xf numFmtId="0" fontId="2" fillId="0" borderId="14" xfId="0" applyNumberFormat="1" applyFont="1" applyBorder="1" applyAlignment="1">
      <alignment vertical="center"/>
    </xf>
    <xf numFmtId="164" fontId="0" fillId="0" borderId="0" xfId="0" applyNumberFormat="1"/>
    <xf numFmtId="0" fontId="2" fillId="0" borderId="16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34" borderId="19" xfId="43" applyNumberFormat="1" applyFont="1" applyFill="1" applyBorder="1" applyAlignment="1" applyProtection="1">
      <alignment vertical="center"/>
      <protection locked="0"/>
    </xf>
    <xf numFmtId="164" fontId="2" fillId="0" borderId="10" xfId="0" applyNumberFormat="1" applyFont="1" applyBorder="1" applyAlignment="1">
      <alignment vertical="center"/>
    </xf>
    <xf numFmtId="164" fontId="2" fillId="34" borderId="10" xfId="0" applyNumberFormat="1" applyFont="1" applyFill="1" applyBorder="1" applyAlignment="1" applyProtection="1">
      <alignment vertical="center"/>
      <protection locked="0"/>
    </xf>
    <xf numFmtId="1" fontId="2" fillId="34" borderId="10" xfId="0" applyNumberFormat="1" applyFont="1" applyFill="1" applyBorder="1" applyAlignment="1" applyProtection="1">
      <alignment vertical="center"/>
      <protection locked="0"/>
    </xf>
    <xf numFmtId="1" fontId="2" fillId="34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5" fillId="0" borderId="0" xfId="0" applyFont="1" applyAlignment="1">
      <alignment vertical="center"/>
    </xf>
    <xf numFmtId="1" fontId="0" fillId="0" borderId="0" xfId="0" applyNumberFormat="1"/>
    <xf numFmtId="0" fontId="39" fillId="0" borderId="0" xfId="0" applyFont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34" borderId="15" xfId="0" applyFill="1" applyBorder="1"/>
    <xf numFmtId="0" fontId="0" fillId="0" borderId="16" xfId="0" applyBorder="1"/>
    <xf numFmtId="49" fontId="2" fillId="0" borderId="20" xfId="0" applyNumberFormat="1" applyFont="1" applyBorder="1" applyAlignment="1">
      <alignment horizontal="left" vertical="center"/>
    </xf>
    <xf numFmtId="2" fontId="2" fillId="35" borderId="0" xfId="0" applyNumberFormat="1" applyFont="1" applyFill="1"/>
    <xf numFmtId="164" fontId="2" fillId="0" borderId="0" xfId="0" applyNumberFormat="1" applyFont="1" applyFill="1" applyBorder="1" applyAlignment="1" applyProtection="1">
      <alignment vertical="center"/>
    </xf>
    <xf numFmtId="164" fontId="2" fillId="0" borderId="20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2" fillId="0" borderId="0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0" fontId="2" fillId="0" borderId="0" xfId="41" applyFont="1" applyFill="1" applyProtection="1"/>
    <xf numFmtId="0" fontId="44" fillId="0" borderId="0" xfId="0" applyFont="1"/>
    <xf numFmtId="49" fontId="0" fillId="0" borderId="0" xfId="0" applyNumberFormat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 applyFill="1" applyBorder="1" applyAlignment="1">
      <alignment horizontal="center"/>
    </xf>
    <xf numFmtId="49" fontId="46" fillId="0" borderId="0" xfId="0" quotePrefix="1" applyNumberFormat="1" applyFont="1" applyAlignment="1">
      <alignment vertical="top" wrapText="1"/>
    </xf>
    <xf numFmtId="2" fontId="29" fillId="0" borderId="0" xfId="0" applyNumberFormat="1" applyFont="1" applyBorder="1" applyAlignment="1">
      <alignment vertical="top" wrapText="1"/>
    </xf>
    <xf numFmtId="164" fontId="0" fillId="34" borderId="0" xfId="0" applyNumberFormat="1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0" borderId="11" xfId="0" applyBorder="1"/>
    <xf numFmtId="0" fontId="2" fillId="34" borderId="0" xfId="0" applyFont="1" applyFill="1" applyBorder="1" applyAlignment="1" applyProtection="1">
      <alignment vertical="center"/>
      <protection locked="0"/>
    </xf>
    <xf numFmtId="1" fontId="0" fillId="0" borderId="0" xfId="0" applyNumberFormat="1" applyFill="1" applyBorder="1" applyAlignment="1">
      <alignment vertical="center"/>
    </xf>
    <xf numFmtId="2" fontId="0" fillId="0" borderId="0" xfId="0" applyNumberFormat="1" applyFill="1" applyBorder="1" applyAlignment="1">
      <alignment horizontal="right" vertical="center"/>
    </xf>
    <xf numFmtId="2" fontId="2" fillId="34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Border="1" applyAlignment="1">
      <alignment horizontal="right" vertical="center"/>
    </xf>
    <xf numFmtId="0" fontId="2" fillId="0" borderId="0" xfId="0" quotePrefix="1" applyFont="1"/>
    <xf numFmtId="0" fontId="50" fillId="38" borderId="0" xfId="0" applyFont="1" applyFill="1" applyAlignment="1">
      <alignment horizontal="center" vertical="center"/>
    </xf>
    <xf numFmtId="0" fontId="0" fillId="0" borderId="10" xfId="0" quotePrefix="1" applyBorder="1" applyAlignment="1">
      <alignment horizontal="center"/>
    </xf>
    <xf numFmtId="0" fontId="2" fillId="0" borderId="10" xfId="0" applyFont="1" applyBorder="1"/>
    <xf numFmtId="0" fontId="0" fillId="0" borderId="10" xfId="0" applyBorder="1"/>
    <xf numFmtId="49" fontId="0" fillId="0" borderId="10" xfId="0" applyNumberFormat="1" applyBorder="1" applyAlignment="1">
      <alignment horizontal="center"/>
    </xf>
    <xf numFmtId="0" fontId="0" fillId="0" borderId="10" xfId="0" quotePrefix="1" applyFill="1" applyBorder="1" applyAlignment="1">
      <alignment horizontal="center"/>
    </xf>
    <xf numFmtId="0" fontId="2" fillId="0" borderId="0" xfId="0" applyFont="1" applyFill="1" applyBorder="1"/>
    <xf numFmtId="0" fontId="0" fillId="0" borderId="21" xfId="0" applyBorder="1"/>
    <xf numFmtId="0" fontId="2" fillId="0" borderId="21" xfId="0" quotePrefix="1" applyFont="1" applyBorder="1"/>
    <xf numFmtId="0" fontId="0" fillId="0" borderId="22" xfId="0" applyBorder="1"/>
    <xf numFmtId="0" fontId="2" fillId="0" borderId="22" xfId="0" quotePrefix="1" applyFont="1" applyBorder="1"/>
    <xf numFmtId="0" fontId="0" fillId="0" borderId="23" xfId="0" applyBorder="1"/>
    <xf numFmtId="0" fontId="2" fillId="0" borderId="23" xfId="0" quotePrefix="1" applyFont="1" applyBorder="1"/>
    <xf numFmtId="0" fontId="2" fillId="0" borderId="22" xfId="0" applyFont="1" applyBorder="1"/>
    <xf numFmtId="49" fontId="2" fillId="0" borderId="0" xfId="0" applyNumberFormat="1" applyFont="1" applyBorder="1" applyAlignment="1">
      <alignment horizontal="center"/>
    </xf>
    <xf numFmtId="49" fontId="0" fillId="0" borderId="0" xfId="0" quotePrefix="1" applyNumberFormat="1" applyAlignment="1">
      <alignment horizontal="center"/>
    </xf>
    <xf numFmtId="0" fontId="2" fillId="0" borderId="10" xfId="0" quotePrefix="1" applyFont="1" applyBorder="1"/>
    <xf numFmtId="0" fontId="2" fillId="0" borderId="23" xfId="0" applyFont="1" applyBorder="1"/>
    <xf numFmtId="0" fontId="2" fillId="0" borderId="10" xfId="0" applyFont="1" applyFill="1" applyBorder="1"/>
    <xf numFmtId="0" fontId="2" fillId="34" borderId="0" xfId="0" applyFont="1" applyFill="1"/>
    <xf numFmtId="0" fontId="2" fillId="34" borderId="10" xfId="0" applyFont="1" applyFill="1" applyBorder="1"/>
    <xf numFmtId="49" fontId="2" fillId="34" borderId="0" xfId="0" applyNumberFormat="1" applyFont="1" applyFill="1" applyAlignment="1">
      <alignment horizontal="center"/>
    </xf>
    <xf numFmtId="49" fontId="0" fillId="34" borderId="0" xfId="0" quotePrefix="1" applyNumberFormat="1" applyFill="1" applyBorder="1" applyAlignment="1">
      <alignment horizontal="center"/>
    </xf>
    <xf numFmtId="0" fontId="0" fillId="0" borderId="19" xfId="0" applyBorder="1" applyProtection="1">
      <protection hidden="1"/>
    </xf>
    <xf numFmtId="0" fontId="49" fillId="0" borderId="19" xfId="0" applyFont="1" applyBorder="1" applyAlignment="1" applyProtection="1">
      <alignment vertical="top" wrapText="1"/>
      <protection hidden="1"/>
    </xf>
    <xf numFmtId="0" fontId="0" fillId="0" borderId="10" xfId="0" applyBorder="1" applyProtection="1">
      <protection hidden="1"/>
    </xf>
    <xf numFmtId="0" fontId="49" fillId="0" borderId="10" xfId="0" applyFont="1" applyBorder="1" applyAlignment="1" applyProtection="1">
      <alignment vertical="top" wrapText="1"/>
      <protection hidden="1"/>
    </xf>
    <xf numFmtId="0" fontId="0" fillId="0" borderId="0" xfId="0" applyProtection="1">
      <protection hidden="1"/>
    </xf>
    <xf numFmtId="0" fontId="45" fillId="0" borderId="0" xfId="0" applyFont="1" applyAlignment="1" applyProtection="1">
      <alignment wrapText="1"/>
      <protection hidden="1"/>
    </xf>
    <xf numFmtId="0" fontId="45" fillId="0" borderId="0" xfId="0" applyFont="1" applyAlignment="1" applyProtection="1">
      <alignment vertical="top" wrapText="1"/>
      <protection hidden="1"/>
    </xf>
    <xf numFmtId="0" fontId="45" fillId="0" borderId="19" xfId="0" applyFont="1" applyBorder="1" applyAlignment="1" applyProtection="1">
      <alignment vertical="top" wrapText="1"/>
      <protection hidden="1"/>
    </xf>
    <xf numFmtId="49" fontId="46" fillId="0" borderId="0" xfId="0" quotePrefix="1" applyNumberFormat="1" applyFont="1" applyAlignment="1" applyProtection="1">
      <alignment vertical="top" wrapText="1"/>
      <protection hidden="1"/>
    </xf>
    <xf numFmtId="0" fontId="46" fillId="0" borderId="0" xfId="0" quotePrefix="1" applyFont="1" applyAlignment="1" applyProtection="1">
      <alignment horizontal="left" vertical="center" wrapText="1"/>
      <protection hidden="1"/>
    </xf>
    <xf numFmtId="0" fontId="46" fillId="0" borderId="0" xfId="0" applyFont="1" applyAlignment="1" applyProtection="1">
      <alignment horizontal="left" vertical="center" wrapText="1"/>
      <protection hidden="1"/>
    </xf>
    <xf numFmtId="0" fontId="46" fillId="0" borderId="0" xfId="0" applyFont="1" applyAlignment="1" applyProtection="1">
      <alignment vertical="top" wrapText="1"/>
      <protection hidden="1"/>
    </xf>
    <xf numFmtId="0" fontId="49" fillId="0" borderId="0" xfId="0" applyFont="1" applyAlignment="1" applyProtection="1">
      <alignment vertical="top" wrapText="1"/>
      <protection hidden="1"/>
    </xf>
    <xf numFmtId="43" fontId="46" fillId="0" borderId="0" xfId="43" applyFont="1" applyAlignment="1" applyProtection="1">
      <alignment vertical="top" wrapText="1"/>
      <protection hidden="1"/>
    </xf>
    <xf numFmtId="0" fontId="48" fillId="0" borderId="0" xfId="0" applyFont="1" applyAlignment="1" applyProtection="1">
      <alignment vertical="top" wrapText="1"/>
      <protection hidden="1"/>
    </xf>
    <xf numFmtId="1" fontId="48" fillId="0" borderId="0" xfId="0" applyNumberFormat="1" applyFont="1" applyAlignment="1" applyProtection="1">
      <alignment horizontal="left" vertical="top" wrapText="1"/>
      <protection hidden="1"/>
    </xf>
    <xf numFmtId="0" fontId="47" fillId="0" borderId="0" xfId="0" applyFont="1" applyAlignment="1" applyProtection="1">
      <alignment vertical="top" wrapText="1"/>
      <protection hidden="1"/>
    </xf>
    <xf numFmtId="0" fontId="48" fillId="0" borderId="0" xfId="0" applyNumberFormat="1" applyFont="1" applyAlignment="1" applyProtection="1">
      <alignment horizontal="right" vertical="top"/>
      <protection hidden="1"/>
    </xf>
    <xf numFmtId="0" fontId="48" fillId="0" borderId="0" xfId="0" quotePrefix="1" applyFont="1" applyAlignment="1" applyProtection="1">
      <alignment horizontal="left" vertical="center" wrapText="1"/>
      <protection hidden="1"/>
    </xf>
    <xf numFmtId="0" fontId="51" fillId="0" borderId="0" xfId="0" applyFont="1" applyAlignment="1" applyProtection="1">
      <alignment vertical="top" wrapText="1"/>
      <protection hidden="1"/>
    </xf>
    <xf numFmtId="0" fontId="46" fillId="0" borderId="0" xfId="0" applyFont="1" applyAlignment="1" applyProtection="1">
      <alignment horizontal="right" vertical="top" wrapText="1"/>
      <protection hidden="1"/>
    </xf>
    <xf numFmtId="0" fontId="0" fillId="0" borderId="0" xfId="0" applyAlignment="1" applyProtection="1">
      <alignment horizontal="right"/>
      <protection hidden="1"/>
    </xf>
    <xf numFmtId="49" fontId="48" fillId="0" borderId="0" xfId="0" quotePrefix="1" applyNumberFormat="1" applyFont="1" applyAlignment="1" applyProtection="1">
      <alignment horizontal="right" vertical="top" wrapText="1"/>
      <protection hidden="1"/>
    </xf>
    <xf numFmtId="49" fontId="46" fillId="0" borderId="0" xfId="0" quotePrefix="1" applyNumberFormat="1" applyFont="1" applyAlignment="1" applyProtection="1">
      <alignment horizontal="right" vertical="top" wrapText="1"/>
      <protection hidden="1"/>
    </xf>
    <xf numFmtId="0" fontId="46" fillId="0" borderId="0" xfId="0" applyNumberFormat="1" applyFont="1" applyAlignment="1" applyProtection="1">
      <alignment vertical="top"/>
      <protection hidden="1"/>
    </xf>
    <xf numFmtId="49" fontId="0" fillId="34" borderId="0" xfId="0" applyNumberForma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19" xfId="0" applyBorder="1"/>
    <xf numFmtId="0" fontId="0" fillId="0" borderId="18" xfId="0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2" fontId="0" fillId="0" borderId="10" xfId="0" applyNumberFormat="1" applyFill="1" applyBorder="1" applyAlignment="1">
      <alignment horizontal="right" vertical="center"/>
    </xf>
    <xf numFmtId="0" fontId="41" fillId="0" borderId="0" xfId="44" applyAlignment="1" applyProtection="1"/>
    <xf numFmtId="0" fontId="32" fillId="0" borderId="11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45" fillId="0" borderId="0" xfId="0" applyFont="1" applyAlignment="1" applyProtection="1">
      <alignment horizontal="right"/>
      <protection hidden="1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/>
    <xf numFmtId="0" fontId="2" fillId="0" borderId="19" xfId="0" applyFont="1" applyFill="1" applyBorder="1" applyAlignment="1"/>
    <xf numFmtId="0" fontId="0" fillId="34" borderId="0" xfId="0" applyFill="1" applyBorder="1" applyAlignment="1" applyProtection="1">
      <alignment horizontal="left"/>
      <protection locked="0"/>
    </xf>
    <xf numFmtId="0" fontId="0" fillId="34" borderId="12" xfId="0" applyFill="1" applyBorder="1" applyAlignment="1" applyProtection="1">
      <alignment horizontal="left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43" fillId="0" borderId="0" xfId="44" applyFont="1" applyAlignment="1" applyProtection="1">
      <alignment horizontal="left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2" fillId="0" borderId="11" xfId="0" applyNumberFormat="1" applyFont="1" applyBorder="1" applyAlignment="1">
      <alignment vertical="top" wrapText="1"/>
    </xf>
    <xf numFmtId="0" fontId="3" fillId="0" borderId="0" xfId="0" applyNumberFormat="1" applyFont="1" applyBorder="1"/>
    <xf numFmtId="0" fontId="3" fillId="0" borderId="12" xfId="0" applyNumberFormat="1" applyFont="1" applyBorder="1"/>
    <xf numFmtId="0" fontId="3" fillId="0" borderId="13" xfId="0" applyNumberFormat="1" applyFont="1" applyBorder="1"/>
    <xf numFmtId="0" fontId="3" fillId="0" borderId="10" xfId="0" applyNumberFormat="1" applyFont="1" applyBorder="1"/>
    <xf numFmtId="0" fontId="3" fillId="0" borderId="14" xfId="0" applyNumberFormat="1" applyFont="1" applyBorder="1"/>
    <xf numFmtId="0" fontId="2" fillId="34" borderId="0" xfId="0" applyFont="1" applyFill="1" applyBorder="1" applyAlignment="1" applyProtection="1">
      <alignment horizontal="left"/>
      <protection locked="0"/>
    </xf>
    <xf numFmtId="49" fontId="2" fillId="0" borderId="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6" fillId="36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38" fillId="37" borderId="0" xfId="0" applyFont="1" applyFill="1" applyBorder="1" applyAlignment="1">
      <alignment vertical="center"/>
    </xf>
    <xf numFmtId="0" fontId="38" fillId="37" borderId="0" xfId="0" applyFont="1" applyFill="1" applyBorder="1" applyAlignment="1">
      <alignment horizontal="left" vertical="center"/>
    </xf>
    <xf numFmtId="0" fontId="45" fillId="0" borderId="19" xfId="0" applyFont="1" applyBorder="1" applyAlignment="1" applyProtection="1">
      <alignment vertical="top" wrapText="1"/>
      <protection hidden="1"/>
    </xf>
    <xf numFmtId="0" fontId="49" fillId="0" borderId="19" xfId="0" applyFont="1" applyBorder="1" applyAlignment="1" applyProtection="1">
      <alignment vertical="top" wrapText="1"/>
      <protection hidden="1"/>
    </xf>
    <xf numFmtId="0" fontId="49" fillId="0" borderId="10" xfId="0" applyFont="1" applyBorder="1" applyAlignment="1" applyProtection="1">
      <alignment vertical="top" wrapText="1"/>
      <protection hidden="1"/>
    </xf>
    <xf numFmtId="0" fontId="49" fillId="0" borderId="19" xfId="0" applyFont="1" applyBorder="1" applyAlignment="1" applyProtection="1">
      <alignment horizontal="right" vertical="top" wrapText="1"/>
      <protection hidden="1"/>
    </xf>
    <xf numFmtId="0" fontId="49" fillId="0" borderId="10" xfId="0" applyFont="1" applyBorder="1" applyAlignment="1" applyProtection="1">
      <alignment horizontal="right" vertical="top" wrapText="1"/>
      <protection hidden="1"/>
    </xf>
    <xf numFmtId="0" fontId="52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</cellXfs>
  <cellStyles count="45">
    <cellStyle name="20 % - Akzent1" xfId="18" builtinId="30" customBuiltin="1"/>
    <cellStyle name="20 % - Akzent2" xfId="22" builtinId="34" customBuiltin="1"/>
    <cellStyle name="20 % - Akzent3" xfId="26" builtinId="38" customBuiltin="1"/>
    <cellStyle name="20 % - Akzent4" xfId="30" builtinId="42" customBuiltin="1"/>
    <cellStyle name="20 % - Akzent5" xfId="34" builtinId="46" customBuiltin="1"/>
    <cellStyle name="20 % - Akzent6" xfId="38" builtinId="50" customBuiltin="1"/>
    <cellStyle name="40 % - Akzent1" xfId="19" builtinId="31" customBuiltin="1"/>
    <cellStyle name="40 % - Akzent2" xfId="23" builtinId="35" customBuiltin="1"/>
    <cellStyle name="40 % - Akzent3" xfId="27" builtinId="39" customBuiltin="1"/>
    <cellStyle name="40 % - Akzent4" xfId="31" builtinId="43" customBuiltin="1"/>
    <cellStyle name="40 % - Akzent5" xfId="35" builtinId="47" customBuiltin="1"/>
    <cellStyle name="40 % - Akzent6" xfId="39" builtinId="51" customBuiltin="1"/>
    <cellStyle name="60 % - Akzent1" xfId="20" builtinId="32" customBuiltin="1"/>
    <cellStyle name="60 % - Akzent2" xfId="24" builtinId="36" customBuiltin="1"/>
    <cellStyle name="60 % - Akzent3" xfId="28" builtinId="40" customBuiltin="1"/>
    <cellStyle name="60 % - Akzent4" xfId="32" builtinId="44" customBuiltin="1"/>
    <cellStyle name="60 % - Akzent5" xfId="36" builtinId="48" customBuiltin="1"/>
    <cellStyle name="60 % - Akzent6" xfId="40" builtinId="52" customBuiltin="1"/>
    <cellStyle name="Akzent1" xfId="17" builtinId="29" customBuiltin="1"/>
    <cellStyle name="Akzent2" xfId="21" builtinId="33" customBuiltin="1"/>
    <cellStyle name="Akzent3" xfId="25" builtinId="37" customBuiltin="1"/>
    <cellStyle name="Akzent4" xfId="29" builtinId="41" customBuiltin="1"/>
    <cellStyle name="Akzent5" xfId="33" builtinId="45" customBuiltin="1"/>
    <cellStyle name="Akzent6" xfId="37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6" builtinId="25" customBuiltin="1"/>
    <cellStyle name="Erklärender Text" xfId="15" builtinId="53" customBuiltin="1"/>
    <cellStyle name="Gut" xfId="6" builtinId="26" customBuiltin="1"/>
    <cellStyle name="Hyperlink" xfId="44" builtinId="8"/>
    <cellStyle name="Komma" xfId="43" builtinId="3"/>
    <cellStyle name="Neutral" xfId="8" builtinId="28" customBuiltin="1"/>
    <cellStyle name="Notiz 2" xfId="42"/>
    <cellStyle name="Schlecht" xfId="7" builtinId="27" customBuiltin="1"/>
    <cellStyle name="Standard" xfId="0" builtinId="0"/>
    <cellStyle name="Standard 2" xfId="4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colors>
    <mruColors>
      <color rgb="FFFF3300"/>
      <color rgb="FFFFFF99"/>
      <color rgb="FF0000FF"/>
      <color rgb="FFFFCC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Lit>
              <c:formatCode>General</c:formatCode>
              <c:ptCount val="2"/>
              <c:pt idx="0">
                <c:v>600</c:v>
              </c:pt>
              <c:pt idx="1">
                <c:v>1750</c:v>
              </c:pt>
            </c:numLit>
          </c:xVal>
          <c:yVal>
            <c:numLit>
              <c:formatCode>General</c:formatCode>
              <c:ptCount val="2"/>
              <c:pt idx="0">
                <c:v>2.5</c:v>
              </c:pt>
              <c:pt idx="1">
                <c:v>3.5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823232"/>
        <c:axId val="259823808"/>
      </c:scatterChart>
      <c:valAx>
        <c:axId val="259823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</a:t>
                </a:r>
                <a:r>
                  <a:rPr lang="en-US" baseline="0"/>
                  <a:t> [rpm]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9823808"/>
        <c:crosses val="autoZero"/>
        <c:crossBetween val="midCat"/>
      </c:valAx>
      <c:valAx>
        <c:axId val="259823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 feed lp [bar]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98232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4" Type="http://schemas.openxmlformats.org/officeDocument/2006/relationships/image" Target="../media/image10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234363</xdr:colOff>
      <xdr:row>11</xdr:row>
      <xdr:rowOff>73682</xdr:rowOff>
    </xdr:from>
    <xdr:to>
      <xdr:col>5</xdr:col>
      <xdr:colOff>1046240</xdr:colOff>
      <xdr:row>19</xdr:row>
      <xdr:rowOff>10430</xdr:rowOff>
    </xdr:to>
    <xdr:pic>
      <xdr:nvPicPr>
        <xdr:cNvPr id="3" name="Grafik 2" descr="SALINO-PC_seitleich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4363" y="2616857"/>
          <a:ext cx="3291552" cy="140677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absolute">
    <xdr:from>
      <xdr:col>5</xdr:col>
      <xdr:colOff>73010</xdr:colOff>
      <xdr:row>16</xdr:row>
      <xdr:rowOff>117470</xdr:rowOff>
    </xdr:from>
    <xdr:to>
      <xdr:col>5</xdr:col>
      <xdr:colOff>349249</xdr:colOff>
      <xdr:row>30</xdr:row>
      <xdr:rowOff>155573</xdr:rowOff>
    </xdr:to>
    <xdr:sp macro="" textlink="">
      <xdr:nvSpPr>
        <xdr:cNvPr id="4" name="Pfeil nach rechts 3"/>
        <xdr:cNvSpPr/>
      </xdr:nvSpPr>
      <xdr:spPr>
        <a:xfrm rot="16200000" flipV="1">
          <a:off x="1385878" y="4757727"/>
          <a:ext cx="2609853" cy="276239"/>
        </a:xfrm>
        <a:prstGeom prst="rightArrow">
          <a:avLst>
            <a:gd name="adj1" fmla="val 41463"/>
            <a:gd name="adj2" fmla="val 54043"/>
          </a:avLst>
        </a:prstGeom>
        <a:solidFill>
          <a:schemeClr val="accent1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absolute">
    <xdr:from>
      <xdr:col>5</xdr:col>
      <xdr:colOff>139698</xdr:colOff>
      <xdr:row>5</xdr:row>
      <xdr:rowOff>260373</xdr:rowOff>
    </xdr:from>
    <xdr:to>
      <xdr:col>5</xdr:col>
      <xdr:colOff>577849</xdr:colOff>
      <xdr:row>12</xdr:row>
      <xdr:rowOff>184147</xdr:rowOff>
    </xdr:to>
    <xdr:sp macro="" textlink="">
      <xdr:nvSpPr>
        <xdr:cNvPr id="5" name="Nach oben gebogener Pfeil 4"/>
        <xdr:cNvSpPr/>
      </xdr:nvSpPr>
      <xdr:spPr>
        <a:xfrm rot="5400000" flipH="1">
          <a:off x="2170124" y="2027247"/>
          <a:ext cx="1336649" cy="438151"/>
        </a:xfrm>
        <a:prstGeom prst="bentUpArrow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absolute">
    <xdr:from>
      <xdr:col>5</xdr:col>
      <xdr:colOff>654050</xdr:colOff>
      <xdr:row>5</xdr:row>
      <xdr:rowOff>141816</xdr:rowOff>
    </xdr:from>
    <xdr:to>
      <xdr:col>8</xdr:col>
      <xdr:colOff>357718</xdr:colOff>
      <xdr:row>7</xdr:row>
      <xdr:rowOff>70089</xdr:rowOff>
    </xdr:to>
    <xdr:pic>
      <xdr:nvPicPr>
        <xdr:cNvPr id="6" name="Grafik 5" descr="membra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33725" y="1456266"/>
          <a:ext cx="2631018" cy="439448"/>
        </a:xfrm>
        <a:prstGeom prst="rect">
          <a:avLst/>
        </a:prstGeom>
      </xdr:spPr>
    </xdr:pic>
    <xdr:clientData/>
  </xdr:twoCellAnchor>
  <xdr:twoCellAnchor editAs="absolute">
    <xdr:from>
      <xdr:col>5</xdr:col>
      <xdr:colOff>463549</xdr:colOff>
      <xdr:row>9</xdr:row>
      <xdr:rowOff>139154</xdr:rowOff>
    </xdr:from>
    <xdr:to>
      <xdr:col>5</xdr:col>
      <xdr:colOff>911224</xdr:colOff>
      <xdr:row>12</xdr:row>
      <xdr:rowOff>184149</xdr:rowOff>
    </xdr:to>
    <xdr:sp macro="" textlink="">
      <xdr:nvSpPr>
        <xdr:cNvPr id="7" name="Nach oben gebogener Pfeil 6"/>
        <xdr:cNvSpPr/>
      </xdr:nvSpPr>
      <xdr:spPr>
        <a:xfrm rot="10800000">
          <a:off x="2943224" y="2326729"/>
          <a:ext cx="447675" cy="587920"/>
        </a:xfrm>
        <a:prstGeom prst="bentUpArrow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absolute">
    <xdr:from>
      <xdr:col>5</xdr:col>
      <xdr:colOff>517526</xdr:colOff>
      <xdr:row>9</xdr:row>
      <xdr:rowOff>136525</xdr:rowOff>
    </xdr:from>
    <xdr:to>
      <xdr:col>8</xdr:col>
      <xdr:colOff>301624</xdr:colOff>
      <xdr:row>10</xdr:row>
      <xdr:rowOff>78824</xdr:rowOff>
    </xdr:to>
    <xdr:sp macro="" textlink="">
      <xdr:nvSpPr>
        <xdr:cNvPr id="8" name="Rechteck 7"/>
        <xdr:cNvSpPr/>
      </xdr:nvSpPr>
      <xdr:spPr>
        <a:xfrm>
          <a:off x="2997201" y="2324100"/>
          <a:ext cx="2711448" cy="123274"/>
        </a:xfrm>
        <a:prstGeom prst="rect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absolute">
    <xdr:from>
      <xdr:col>8</xdr:col>
      <xdr:colOff>215900</xdr:colOff>
      <xdr:row>7</xdr:row>
      <xdr:rowOff>154387</xdr:rowOff>
    </xdr:from>
    <xdr:to>
      <xdr:col>8</xdr:col>
      <xdr:colOff>336550</xdr:colOff>
      <xdr:row>10</xdr:row>
      <xdr:rowOff>78821</xdr:rowOff>
    </xdr:to>
    <xdr:sp macro="" textlink="">
      <xdr:nvSpPr>
        <xdr:cNvPr id="9" name="Rechteck 8"/>
        <xdr:cNvSpPr/>
      </xdr:nvSpPr>
      <xdr:spPr>
        <a:xfrm rot="16200000">
          <a:off x="5452745" y="2156542"/>
          <a:ext cx="467359" cy="114300"/>
        </a:xfrm>
        <a:prstGeom prst="rect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absolute">
    <xdr:from>
      <xdr:col>8</xdr:col>
      <xdr:colOff>460376</xdr:colOff>
      <xdr:row>5</xdr:row>
      <xdr:rowOff>244473</xdr:rowOff>
    </xdr:from>
    <xdr:to>
      <xdr:col>11</xdr:col>
      <xdr:colOff>339726</xdr:colOff>
      <xdr:row>7</xdr:row>
      <xdr:rowOff>15874</xdr:rowOff>
    </xdr:to>
    <xdr:sp macro="" textlink="">
      <xdr:nvSpPr>
        <xdr:cNvPr id="10" name="Pfeil nach rechts 9"/>
        <xdr:cNvSpPr/>
      </xdr:nvSpPr>
      <xdr:spPr>
        <a:xfrm flipV="1">
          <a:off x="5867401" y="1562098"/>
          <a:ext cx="1162050" cy="276226"/>
        </a:xfrm>
        <a:prstGeom prst="rightArrow">
          <a:avLst>
            <a:gd name="adj1" fmla="val 41463"/>
            <a:gd name="adj2" fmla="val 54043"/>
          </a:avLst>
        </a:prstGeom>
        <a:solidFill>
          <a:schemeClr val="accent1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absolute">
    <xdr:from>
      <xdr:col>5</xdr:col>
      <xdr:colOff>520700</xdr:colOff>
      <xdr:row>20</xdr:row>
      <xdr:rowOff>63496</xdr:rowOff>
    </xdr:from>
    <xdr:to>
      <xdr:col>8</xdr:col>
      <xdr:colOff>346075</xdr:colOff>
      <xdr:row>21</xdr:row>
      <xdr:rowOff>156603</xdr:rowOff>
    </xdr:to>
    <xdr:sp macro="" textlink="">
      <xdr:nvSpPr>
        <xdr:cNvPr id="11" name="Pfeil nach rechts 10"/>
        <xdr:cNvSpPr/>
      </xdr:nvSpPr>
      <xdr:spPr>
        <a:xfrm flipV="1">
          <a:off x="3000375" y="4257671"/>
          <a:ext cx="2752725" cy="296307"/>
        </a:xfrm>
        <a:prstGeom prst="rightArrow">
          <a:avLst>
            <a:gd name="adj1" fmla="val 41463"/>
            <a:gd name="adj2" fmla="val 54043"/>
          </a:avLst>
        </a:prstGeom>
        <a:solidFill>
          <a:schemeClr val="accent1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absolute">
    <xdr:from>
      <xdr:col>5</xdr:col>
      <xdr:colOff>511182</xdr:colOff>
      <xdr:row>16</xdr:row>
      <xdr:rowOff>136523</xdr:rowOff>
    </xdr:from>
    <xdr:to>
      <xdr:col>5</xdr:col>
      <xdr:colOff>625476</xdr:colOff>
      <xdr:row>21</xdr:row>
      <xdr:rowOff>70905</xdr:rowOff>
    </xdr:to>
    <xdr:sp macro="" textlink="">
      <xdr:nvSpPr>
        <xdr:cNvPr id="12" name="Rechteck 11"/>
        <xdr:cNvSpPr/>
      </xdr:nvSpPr>
      <xdr:spPr>
        <a:xfrm rot="16200000">
          <a:off x="2619379" y="3981451"/>
          <a:ext cx="857249" cy="114294"/>
        </a:xfrm>
        <a:prstGeom prst="rect">
          <a:avLst/>
        </a:prstGeom>
        <a:solidFill>
          <a:schemeClr val="accent1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</xdr:row>
          <xdr:rowOff>28575</xdr:rowOff>
        </xdr:from>
        <xdr:to>
          <xdr:col>3</xdr:col>
          <xdr:colOff>419100</xdr:colOff>
          <xdr:row>4</xdr:row>
          <xdr:rowOff>9525</xdr:rowOff>
        </xdr:to>
        <xdr:sp macro="" textlink="">
          <xdr:nvSpPr>
            <xdr:cNvPr id="1029" name="bar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</xdr:row>
          <xdr:rowOff>28575</xdr:rowOff>
        </xdr:from>
        <xdr:to>
          <xdr:col>4</xdr:col>
          <xdr:colOff>581025</xdr:colOff>
          <xdr:row>4</xdr:row>
          <xdr:rowOff>76200</xdr:rowOff>
        </xdr:to>
        <xdr:sp macro="" textlink="">
          <xdr:nvSpPr>
            <xdr:cNvPr id="1030" name="psi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</xdr:row>
          <xdr:rowOff>19050</xdr:rowOff>
        </xdr:from>
        <xdr:to>
          <xdr:col>4</xdr:col>
          <xdr:colOff>0</xdr:colOff>
          <xdr:row>4</xdr:row>
          <xdr:rowOff>209550</xdr:rowOff>
        </xdr:to>
        <xdr:sp macro="" textlink="">
          <xdr:nvSpPr>
            <xdr:cNvPr id="1031" name="flow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</xdr:row>
          <xdr:rowOff>9525</xdr:rowOff>
        </xdr:from>
        <xdr:to>
          <xdr:col>4</xdr:col>
          <xdr:colOff>657225</xdr:colOff>
          <xdr:row>5</xdr:row>
          <xdr:rowOff>66675</xdr:rowOff>
        </xdr:to>
        <xdr:sp macro="" textlink="">
          <xdr:nvSpPr>
            <xdr:cNvPr id="1032" name="gpm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</xdr:row>
          <xdr:rowOff>0</xdr:rowOff>
        </xdr:from>
        <xdr:to>
          <xdr:col>3</xdr:col>
          <xdr:colOff>371475</xdr:colOff>
          <xdr:row>5</xdr:row>
          <xdr:rowOff>180975</xdr:rowOff>
        </xdr:to>
        <xdr:sp macro="" textlink="">
          <xdr:nvSpPr>
            <xdr:cNvPr id="1033" name="°C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</xdr:row>
          <xdr:rowOff>209550</xdr:rowOff>
        </xdr:from>
        <xdr:to>
          <xdr:col>4</xdr:col>
          <xdr:colOff>514350</xdr:colOff>
          <xdr:row>5</xdr:row>
          <xdr:rowOff>257175</xdr:rowOff>
        </xdr:to>
        <xdr:sp macro="" textlink="">
          <xdr:nvSpPr>
            <xdr:cNvPr id="1034" name="°F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0</xdr:col>
      <xdr:colOff>275167</xdr:colOff>
      <xdr:row>0</xdr:row>
      <xdr:rowOff>31750</xdr:rowOff>
    </xdr:from>
    <xdr:to>
      <xdr:col>4</xdr:col>
      <xdr:colOff>354274</xdr:colOff>
      <xdr:row>0</xdr:row>
      <xdr:rowOff>477949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5167" y="31750"/>
          <a:ext cx="1825357" cy="446199"/>
        </a:xfrm>
        <a:prstGeom prst="rect">
          <a:avLst/>
        </a:prstGeom>
      </xdr:spPr>
    </xdr:pic>
    <xdr:clientData/>
  </xdr:twoCellAnchor>
  <xdr:twoCellAnchor editAs="oneCell">
    <xdr:from>
      <xdr:col>10</xdr:col>
      <xdr:colOff>107592</xdr:colOff>
      <xdr:row>34</xdr:row>
      <xdr:rowOff>126999</xdr:rowOff>
    </xdr:from>
    <xdr:to>
      <xdr:col>11</xdr:col>
      <xdr:colOff>546566</xdr:colOff>
      <xdr:row>36</xdr:row>
      <xdr:rowOff>137582</xdr:rowOff>
    </xdr:to>
    <xdr:pic>
      <xdr:nvPicPr>
        <xdr:cNvPr id="26" name="Grafik 2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3509" y="6868582"/>
          <a:ext cx="841140" cy="370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47463</xdr:colOff>
      <xdr:row>0</xdr:row>
      <xdr:rowOff>38100</xdr:rowOff>
    </xdr:from>
    <xdr:to>
      <xdr:col>9</xdr:col>
      <xdr:colOff>409574</xdr:colOff>
      <xdr:row>4</xdr:row>
      <xdr:rowOff>152400</xdr:rowOff>
    </xdr:to>
    <xdr:pic>
      <xdr:nvPicPr>
        <xdr:cNvPr id="2" name="Grafik 1" descr="KSB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91063" y="38100"/>
          <a:ext cx="1162211" cy="514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48</xdr:row>
      <xdr:rowOff>142874</xdr:rowOff>
    </xdr:from>
    <xdr:to>
      <xdr:col>11</xdr:col>
      <xdr:colOff>85725</xdr:colOff>
      <xdr:row>62</xdr:row>
      <xdr:rowOff>38099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31750</xdr:rowOff>
    </xdr:from>
    <xdr:to>
      <xdr:col>1</xdr:col>
      <xdr:colOff>438149</xdr:colOff>
      <xdr:row>2</xdr:row>
      <xdr:rowOff>15381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" y="31750"/>
          <a:ext cx="1231899" cy="301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>
          <a:solidFill>
            <a:schemeClr val="tx2"/>
          </a:solidFill>
        </a:ln>
      </a:spPr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13" Type="http://schemas.openxmlformats.org/officeDocument/2006/relationships/image" Target="../media/image4.emf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1.emf"/><Relationship Id="rId12" Type="http://schemas.openxmlformats.org/officeDocument/2006/relationships/control" Target="../activeX/activeX4.xml"/><Relationship Id="rId17" Type="http://schemas.openxmlformats.org/officeDocument/2006/relationships/image" Target="../media/image6.emf"/><Relationship Id="rId2" Type="http://schemas.openxmlformats.org/officeDocument/2006/relationships/hyperlink" Target="http://www.salinnova.com/" TargetMode="External"/><Relationship Id="rId16" Type="http://schemas.openxmlformats.org/officeDocument/2006/relationships/control" Target="../activeX/activeX6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1.xml"/><Relationship Id="rId11" Type="http://schemas.openxmlformats.org/officeDocument/2006/relationships/image" Target="../media/image3.emf"/><Relationship Id="rId5" Type="http://schemas.openxmlformats.org/officeDocument/2006/relationships/vmlDrawing" Target="../drawings/vmlDrawing1.vml"/><Relationship Id="rId15" Type="http://schemas.openxmlformats.org/officeDocument/2006/relationships/image" Target="../media/image5.emf"/><Relationship Id="rId10" Type="http://schemas.openxmlformats.org/officeDocument/2006/relationships/control" Target="../activeX/activeX3.xml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Relationship Id="rId14" Type="http://schemas.openxmlformats.org/officeDocument/2006/relationships/control" Target="../activeX/activeX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XFB39"/>
  <sheetViews>
    <sheetView showGridLines="0" tabSelected="1" zoomScaleNormal="100" zoomScalePageLayoutView="90" workbookViewId="0">
      <selection activeCell="H5" sqref="H5"/>
    </sheetView>
  </sheetViews>
  <sheetFormatPr baseColWidth="10" defaultColWidth="3.5703125" defaultRowHeight="12.75" zeroHeight="1" x14ac:dyDescent="0.2"/>
  <cols>
    <col min="1" max="1" width="4.42578125" customWidth="1"/>
    <col min="2" max="2" width="13" customWidth="1"/>
    <col min="3" max="3" width="0.140625" hidden="1" customWidth="1"/>
    <col min="4" max="4" width="7.5703125" customWidth="1"/>
    <col min="5" max="5" width="10.42578125" customWidth="1"/>
    <col min="6" max="6" width="20.140625" customWidth="1"/>
    <col min="7" max="7" width="13.5703125" customWidth="1"/>
    <col min="8" max="8" width="8.140625" customWidth="1"/>
    <col min="9" max="9" width="7.140625" customWidth="1"/>
    <col min="10" max="10" width="5.42578125" customWidth="1"/>
    <col min="11" max="11" width="5.7109375" customWidth="1"/>
    <col min="12" max="12" width="10.42578125" customWidth="1"/>
    <col min="13" max="13" width="12.28515625" customWidth="1"/>
    <col min="14" max="14" width="7.7109375" customWidth="1"/>
    <col min="15" max="15" width="7" customWidth="1"/>
    <col min="16" max="16" width="8.7109375" customWidth="1"/>
    <col min="17" max="17" width="8.28515625" customWidth="1"/>
    <col min="18" max="18" width="0.28515625" hidden="1" customWidth="1"/>
    <col min="19" max="16382" width="11.42578125" hidden="1" customWidth="1"/>
    <col min="16383" max="16383" width="75.42578125" customWidth="1"/>
    <col min="16384" max="16384" width="52.140625" customWidth="1"/>
  </cols>
  <sheetData>
    <row r="1" spans="1:17" ht="39.75" customHeight="1" thickBot="1" x14ac:dyDescent="0.4">
      <c r="A1" s="203" t="s">
        <v>442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spans="1:17" ht="15" customHeight="1" thickBot="1" x14ac:dyDescent="0.4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4.25" customHeight="1" thickBot="1" x14ac:dyDescent="0.4">
      <c r="A3" s="1"/>
      <c r="B3" s="208" t="s">
        <v>111</v>
      </c>
      <c r="C3" s="209"/>
      <c r="D3" s="209"/>
      <c r="E3" s="210"/>
      <c r="F3" s="33"/>
      <c r="G3" s="39"/>
      <c r="H3" s="39"/>
      <c r="I3" s="39"/>
      <c r="J3" s="39"/>
      <c r="K3" s="39"/>
      <c r="L3" s="19"/>
      <c r="M3" s="19"/>
      <c r="N3" s="19"/>
      <c r="O3" s="20"/>
      <c r="P3" s="1"/>
      <c r="Q3" s="1"/>
    </row>
    <row r="4" spans="1:17" ht="17.25" customHeight="1" thickBot="1" x14ac:dyDescent="0.25">
      <c r="B4" s="170" t="s">
        <v>13</v>
      </c>
      <c r="C4" s="52"/>
      <c r="D4" s="52"/>
      <c r="E4" s="171"/>
      <c r="F4" s="40"/>
      <c r="G4" s="179" t="s">
        <v>17</v>
      </c>
      <c r="H4" s="180"/>
      <c r="I4" s="181"/>
      <c r="J4" s="41"/>
      <c r="O4" s="84"/>
      <c r="P4" s="86" t="s">
        <v>99</v>
      </c>
      <c r="Q4" s="85"/>
    </row>
    <row r="5" spans="1:17" ht="17.25" customHeight="1" thickBot="1" x14ac:dyDescent="0.25">
      <c r="B5" s="170" t="s">
        <v>12</v>
      </c>
      <c r="C5" s="52"/>
      <c r="D5" s="53"/>
      <c r="E5" s="172"/>
      <c r="F5" s="24"/>
      <c r="G5" s="42" t="s">
        <v>6</v>
      </c>
      <c r="H5" s="72">
        <v>30</v>
      </c>
      <c r="I5" s="43" t="s">
        <v>0</v>
      </c>
      <c r="J5" s="24"/>
    </row>
    <row r="6" spans="1:17" ht="25.5" customHeight="1" thickBot="1" x14ac:dyDescent="0.25">
      <c r="B6" s="173" t="s">
        <v>21</v>
      </c>
      <c r="C6" s="174"/>
      <c r="D6" s="174"/>
      <c r="E6" s="175"/>
      <c r="F6" s="24"/>
      <c r="G6" s="24"/>
      <c r="I6" s="33"/>
      <c r="J6" s="33"/>
      <c r="K6" s="33"/>
      <c r="M6" s="24"/>
      <c r="N6" s="24"/>
      <c r="O6" s="24"/>
      <c r="P6" s="24"/>
      <c r="Q6" s="24"/>
    </row>
    <row r="7" spans="1:17" ht="14.25" customHeight="1" thickBot="1" x14ac:dyDescent="0.25">
      <c r="B7" s="24"/>
      <c r="C7" s="24"/>
      <c r="D7" s="24"/>
      <c r="E7" s="33"/>
      <c r="F7" s="24"/>
      <c r="G7" s="24"/>
      <c r="H7" s="204"/>
      <c r="I7" s="204"/>
      <c r="J7" s="204"/>
      <c r="M7" s="179" t="s">
        <v>18</v>
      </c>
      <c r="N7" s="180"/>
      <c r="O7" s="181"/>
      <c r="P7" s="24"/>
      <c r="Q7" s="24"/>
    </row>
    <row r="8" spans="1:17" ht="14.25" customHeight="1" thickBot="1" x14ac:dyDescent="0.25">
      <c r="B8" s="24"/>
      <c r="C8" s="24"/>
      <c r="D8" s="24"/>
      <c r="E8" s="24"/>
      <c r="F8" s="24"/>
      <c r="G8" s="24"/>
      <c r="H8" s="33"/>
      <c r="I8" s="33"/>
      <c r="J8" s="33"/>
      <c r="K8" s="33"/>
      <c r="M8" s="42" t="s">
        <v>12</v>
      </c>
      <c r="N8" s="89">
        <f>IF(Berechnungen!F54=1,Berechnungen!D7,"XXXX")</f>
        <v>4.166666666666667</v>
      </c>
      <c r="O8" s="61" t="str">
        <f>IF(Units!B7=TRUE,"m³/h","gpm")</f>
        <v>m³/h</v>
      </c>
      <c r="P8" s="24"/>
      <c r="Q8" s="24"/>
    </row>
    <row r="9" spans="1:17" ht="14.25" customHeight="1" thickBot="1" x14ac:dyDescent="0.25">
      <c r="B9" s="179" t="s">
        <v>14</v>
      </c>
      <c r="C9" s="180"/>
      <c r="D9" s="180"/>
      <c r="E9" s="205"/>
      <c r="F9" s="24"/>
      <c r="G9" s="24"/>
      <c r="H9" s="24"/>
      <c r="I9" s="24"/>
      <c r="J9" s="24"/>
      <c r="K9" s="24"/>
      <c r="P9" s="24"/>
      <c r="Q9" s="24"/>
    </row>
    <row r="10" spans="1:17" ht="14.25" customHeight="1" thickBot="1" x14ac:dyDescent="0.25">
      <c r="B10" s="206" t="s">
        <v>12</v>
      </c>
      <c r="C10" s="207"/>
      <c r="D10" s="93">
        <f>IF(Berechnungen!F54=1,Berechnungen!D22,"XXXX")</f>
        <v>13.888888888888891</v>
      </c>
      <c r="E10" s="62" t="str">
        <f>IF(Units!B7=TRUE,"m³/h","gpm")</f>
        <v>m³/h</v>
      </c>
      <c r="F10" s="24"/>
      <c r="G10" s="24"/>
      <c r="H10" s="24"/>
      <c r="I10" s="24"/>
      <c r="J10" s="24"/>
      <c r="K10" s="24"/>
      <c r="M10" s="189" t="s">
        <v>132</v>
      </c>
      <c r="N10" s="190"/>
      <c r="O10" s="190"/>
      <c r="P10" s="190"/>
      <c r="Q10" s="191"/>
    </row>
    <row r="11" spans="1:17" ht="14.25" customHeight="1" thickBot="1" x14ac:dyDescent="0.25">
      <c r="B11" s="177" t="s">
        <v>13</v>
      </c>
      <c r="C11" s="178"/>
      <c r="D11" s="70">
        <v>65</v>
      </c>
      <c r="E11" s="59" t="str">
        <f>IF(Units!B4=TRUE,"bar","psi")</f>
        <v>bar</v>
      </c>
      <c r="F11" s="24"/>
      <c r="G11" s="24"/>
      <c r="H11" s="24"/>
      <c r="I11" s="24"/>
      <c r="J11" s="24"/>
      <c r="K11" s="24"/>
      <c r="M11" s="5" t="s">
        <v>22</v>
      </c>
      <c r="N11" s="4"/>
      <c r="O11" s="4"/>
      <c r="P11" s="58">
        <f>ROUND(IF(Units!B4=TRUE,Berechnungen!I47,Berechnungen!I47*Units!E4),1)</f>
        <v>2.9</v>
      </c>
      <c r="Q11" s="57" t="str">
        <f>IF(Units!B4=TRUE,"bar","psi")</f>
        <v>bar</v>
      </c>
    </row>
    <row r="12" spans="1:17" ht="14.25" customHeight="1" x14ac:dyDescent="0.2">
      <c r="B12" s="8"/>
      <c r="C12" s="8"/>
      <c r="D12" s="33"/>
      <c r="E12" s="4"/>
      <c r="F12" s="24"/>
      <c r="G12" s="24"/>
      <c r="H12" s="24"/>
      <c r="I12" s="24"/>
      <c r="J12" s="24"/>
      <c r="K12" s="24"/>
      <c r="M12" s="5" t="s">
        <v>23</v>
      </c>
      <c r="N12" s="4"/>
      <c r="O12" s="4"/>
      <c r="P12" s="47">
        <f>ROUND(IF(Units!B4=TRUE,30,30*Units!E4),1)</f>
        <v>30</v>
      </c>
      <c r="Q12" s="57" t="str">
        <f>IF(Units!B4=TRUE,"bar","psi")</f>
        <v>bar</v>
      </c>
    </row>
    <row r="13" spans="1:17" ht="15.75" customHeight="1" thickBot="1" x14ac:dyDescent="0.25">
      <c r="B13" s="4"/>
      <c r="C13" s="4"/>
      <c r="D13" s="4"/>
      <c r="E13" s="24"/>
      <c r="F13" s="24"/>
      <c r="G13" s="24"/>
      <c r="H13" s="24"/>
      <c r="I13" s="24"/>
      <c r="J13" s="24"/>
      <c r="K13" s="24"/>
      <c r="M13" s="5" t="s">
        <v>24</v>
      </c>
      <c r="N13" s="4"/>
      <c r="O13" s="4"/>
      <c r="P13" s="56">
        <v>70</v>
      </c>
      <c r="Q13" s="57" t="str">
        <f>IF(Units!B4=TRUE,"bar","psi")</f>
        <v>bar</v>
      </c>
    </row>
    <row r="14" spans="1:17" ht="14.25" customHeight="1" thickBot="1" x14ac:dyDescent="0.25">
      <c r="B14" s="4"/>
      <c r="C14" s="4"/>
      <c r="D14" s="4"/>
      <c r="E14" s="24"/>
      <c r="F14" s="24"/>
      <c r="G14" s="179" t="s">
        <v>20</v>
      </c>
      <c r="H14" s="180"/>
      <c r="I14" s="181"/>
      <c r="J14" s="24"/>
      <c r="K14" s="24"/>
      <c r="M14" s="6" t="s">
        <v>25</v>
      </c>
      <c r="N14" s="4"/>
      <c r="O14" s="4"/>
      <c r="P14" s="47">
        <f>ROUND(IF(Units!B4=TRUE,2,2*Units!E4),1)</f>
        <v>2</v>
      </c>
      <c r="Q14" s="57" t="str">
        <f>IF(Units!B4=TRUE,"bar","psi")</f>
        <v>bar</v>
      </c>
    </row>
    <row r="15" spans="1:17" ht="14.25" customHeight="1" x14ac:dyDescent="0.2">
      <c r="B15" s="24"/>
      <c r="C15" s="24"/>
      <c r="D15" s="24"/>
      <c r="E15" s="24"/>
      <c r="F15" s="24"/>
      <c r="G15" s="5" t="s">
        <v>12</v>
      </c>
      <c r="H15" s="92">
        <f>IF(Berechnungen!F54=1,Berechnungen!D23,"XXXX")</f>
        <v>9.722222222222225</v>
      </c>
      <c r="I15" s="62" t="str">
        <f>IF(Units!B7=TRUE,"m³/h","gpm")</f>
        <v>m³/h</v>
      </c>
      <c r="J15" s="24"/>
      <c r="K15" s="24"/>
      <c r="M15" s="5" t="s">
        <v>26</v>
      </c>
      <c r="N15" s="4"/>
      <c r="O15" s="4"/>
      <c r="P15" s="4">
        <f>ROUND(IF(Units!B10=TRUE,40,40*1.8+32),1)</f>
        <v>40</v>
      </c>
      <c r="Q15" s="57" t="str">
        <f>IF(Units!B10=TRUE,"°C","°F")</f>
        <v>°C</v>
      </c>
    </row>
    <row r="16" spans="1:17" ht="14.25" customHeight="1" thickBot="1" x14ac:dyDescent="0.25">
      <c r="B16" s="24"/>
      <c r="C16" s="24"/>
      <c r="D16" s="24"/>
      <c r="E16" s="24"/>
      <c r="F16" s="24"/>
      <c r="G16" s="29" t="s">
        <v>13</v>
      </c>
      <c r="H16" s="69">
        <f>Berechnungen!D30</f>
        <v>64</v>
      </c>
      <c r="I16" s="59" t="str">
        <f>IF(Units!B4=TRUE,"bar","psi")</f>
        <v>bar</v>
      </c>
      <c r="J16" s="24"/>
      <c r="K16" s="24"/>
      <c r="M16" s="7" t="s">
        <v>28</v>
      </c>
      <c r="N16" s="4"/>
      <c r="O16" s="4"/>
      <c r="P16" s="8">
        <v>600</v>
      </c>
      <c r="Q16" s="3" t="s">
        <v>2</v>
      </c>
    </row>
    <row r="17" spans="2:17" ht="14.25" customHeight="1" thickBot="1" x14ac:dyDescent="0.25">
      <c r="B17" s="24"/>
      <c r="C17" s="24"/>
      <c r="D17" s="24"/>
      <c r="E17" s="24"/>
      <c r="F17" s="24"/>
      <c r="G17" s="24"/>
      <c r="H17" s="24"/>
      <c r="I17" s="24"/>
      <c r="J17" s="24"/>
      <c r="K17" s="24"/>
      <c r="M17" s="7" t="s">
        <v>98</v>
      </c>
      <c r="N17" s="4"/>
      <c r="O17" s="4"/>
      <c r="P17" s="8">
        <v>1750</v>
      </c>
      <c r="Q17" s="3" t="s">
        <v>2</v>
      </c>
    </row>
    <row r="18" spans="2:17" ht="14.25" customHeight="1" thickBot="1" x14ac:dyDescent="0.25">
      <c r="B18" s="24"/>
      <c r="C18" s="24"/>
      <c r="D18" s="24"/>
      <c r="E18" s="24"/>
      <c r="F18" s="24"/>
      <c r="G18" s="24"/>
      <c r="H18" s="24"/>
      <c r="I18" s="24"/>
      <c r="J18" s="24"/>
      <c r="K18" s="24"/>
      <c r="M18" s="182" t="s">
        <v>29</v>
      </c>
      <c r="N18" s="183"/>
      <c r="O18" s="183"/>
      <c r="P18" s="183"/>
      <c r="Q18" s="184"/>
    </row>
    <row r="19" spans="2:17" ht="14.25" customHeight="1" x14ac:dyDescent="0.2">
      <c r="B19" s="24"/>
      <c r="C19" s="24"/>
      <c r="D19" s="24"/>
      <c r="E19" s="24"/>
      <c r="F19" s="24"/>
      <c r="G19" s="24"/>
      <c r="K19" s="24"/>
      <c r="M19" s="185" t="s">
        <v>30</v>
      </c>
      <c r="N19" s="186"/>
      <c r="O19" s="33"/>
      <c r="P19" s="101">
        <v>100</v>
      </c>
      <c r="Q19" s="62" t="str">
        <f>IF(Units!B7=TRUE,"m³/day","gpm")</f>
        <v>m³/day</v>
      </c>
    </row>
    <row r="20" spans="2:17" ht="14.25" customHeight="1" x14ac:dyDescent="0.2">
      <c r="B20" s="24"/>
      <c r="C20" s="24"/>
      <c r="D20" s="24"/>
      <c r="E20" s="24"/>
      <c r="F20" s="24"/>
      <c r="G20" s="24"/>
      <c r="K20" s="24"/>
      <c r="M20" s="7" t="s">
        <v>31</v>
      </c>
      <c r="N20" s="33"/>
      <c r="O20" s="33"/>
      <c r="P20" s="101">
        <v>1</v>
      </c>
      <c r="Q20" s="57" t="str">
        <f>IF(Units!B4=TRUE,"bar","psi")</f>
        <v>bar</v>
      </c>
    </row>
    <row r="21" spans="2:17" ht="15.75" customHeight="1" thickBot="1" x14ac:dyDescent="0.25">
      <c r="B21" s="35"/>
      <c r="C21" s="35"/>
      <c r="D21" s="35"/>
      <c r="E21" s="24"/>
      <c r="F21" s="24"/>
      <c r="G21" s="24"/>
      <c r="H21" s="24"/>
      <c r="I21" s="24"/>
      <c r="J21" s="24"/>
      <c r="K21" s="24"/>
      <c r="M21" s="7" t="s">
        <v>263</v>
      </c>
      <c r="N21" s="1"/>
      <c r="O21" s="1"/>
      <c r="P21" s="187" t="s">
        <v>179</v>
      </c>
      <c r="Q21" s="188"/>
    </row>
    <row r="22" spans="2:17" ht="14.25" customHeight="1" thickBot="1" x14ac:dyDescent="0.25">
      <c r="B22" s="179" t="s">
        <v>109</v>
      </c>
      <c r="C22" s="180"/>
      <c r="D22" s="180"/>
      <c r="E22" s="181"/>
      <c r="F22" s="24"/>
      <c r="G22" s="24"/>
      <c r="H22" s="24"/>
      <c r="I22" s="24"/>
      <c r="J22" s="24"/>
      <c r="K22" s="24"/>
      <c r="M22" s="7" t="s">
        <v>39</v>
      </c>
      <c r="N22" s="33"/>
      <c r="O22" s="33"/>
      <c r="P22" s="102">
        <v>90</v>
      </c>
      <c r="Q22" s="28" t="s">
        <v>0</v>
      </c>
    </row>
    <row r="23" spans="2:17" ht="14.25" customHeight="1" x14ac:dyDescent="0.2">
      <c r="B23" s="193" t="s">
        <v>12</v>
      </c>
      <c r="C23" s="194"/>
      <c r="D23" s="92">
        <f>IF(Berechnungen!F54=1,Berechnungen!D24,"XXXX")</f>
        <v>14.129083305075168</v>
      </c>
      <c r="E23" s="62" t="str">
        <f>IF(Units!B7=TRUE,"m³/h","gpm")</f>
        <v>m³/h</v>
      </c>
      <c r="F23" s="24"/>
      <c r="G23" s="24"/>
      <c r="H23" s="24"/>
      <c r="I23" s="24"/>
      <c r="J23" s="24"/>
      <c r="K23" s="24"/>
      <c r="M23" s="103" t="s">
        <v>277</v>
      </c>
      <c r="N23" s="1"/>
      <c r="O23" s="1"/>
      <c r="P23" s="201" t="s">
        <v>177</v>
      </c>
      <c r="Q23" s="188"/>
    </row>
    <row r="24" spans="2:17" ht="14.25" customHeight="1" thickBot="1" x14ac:dyDescent="0.25">
      <c r="B24" s="177" t="s">
        <v>13</v>
      </c>
      <c r="C24" s="178"/>
      <c r="D24" s="88">
        <f>P11</f>
        <v>2.9</v>
      </c>
      <c r="E24" s="57" t="str">
        <f>IF(Units!B4=TRUE,"bar","psi")</f>
        <v>bar</v>
      </c>
      <c r="F24" s="24"/>
      <c r="G24" s="24"/>
      <c r="H24" s="24"/>
      <c r="I24" s="24"/>
      <c r="J24" s="24"/>
      <c r="K24" s="24"/>
      <c r="M24" s="7" t="s">
        <v>38</v>
      </c>
      <c r="N24" s="33"/>
      <c r="O24" s="33"/>
      <c r="P24" s="104">
        <v>90</v>
      </c>
      <c r="Q24" s="3" t="s">
        <v>0</v>
      </c>
    </row>
    <row r="25" spans="2:17" ht="14.25" customHeight="1" thickBot="1" x14ac:dyDescent="0.25">
      <c r="B25" s="37"/>
      <c r="C25" s="37"/>
      <c r="D25" s="37"/>
      <c r="E25" s="38"/>
      <c r="F25" s="24"/>
      <c r="G25" s="179" t="s">
        <v>19</v>
      </c>
      <c r="H25" s="180"/>
      <c r="I25" s="181"/>
      <c r="J25" s="24"/>
      <c r="K25" s="24"/>
      <c r="M25" s="189" t="s">
        <v>106</v>
      </c>
      <c r="N25" s="190"/>
      <c r="O25" s="190"/>
      <c r="P25" s="190"/>
      <c r="Q25" s="191"/>
    </row>
    <row r="26" spans="2:17" ht="15.75" customHeight="1" x14ac:dyDescent="0.2">
      <c r="B26" s="4"/>
      <c r="C26" s="4"/>
      <c r="D26" s="4"/>
      <c r="E26" s="24"/>
      <c r="F26" s="24"/>
      <c r="G26" s="5" t="s">
        <v>12</v>
      </c>
      <c r="H26" s="92">
        <f>IF(Berechnungen!F54=1,Berechnungen!D25,"XXXX")</f>
        <v>9.5277777777777803</v>
      </c>
      <c r="I26" s="62" t="str">
        <f>IF(Units!B7=TRUE,"m³/h","gpm")</f>
        <v>m³/h</v>
      </c>
      <c r="J26" s="24"/>
      <c r="K26" s="24"/>
      <c r="M26" s="160" t="s">
        <v>435</v>
      </c>
      <c r="N26" s="165"/>
      <c r="O26" s="165"/>
      <c r="P26" s="38">
        <v>97</v>
      </c>
      <c r="Q26" s="166" t="s">
        <v>0</v>
      </c>
    </row>
    <row r="27" spans="2:17" ht="14.25" customHeight="1" thickBot="1" x14ac:dyDescent="0.25">
      <c r="B27" s="4"/>
      <c r="C27" s="4"/>
      <c r="D27" s="4"/>
      <c r="E27" s="24"/>
      <c r="F27" s="24"/>
      <c r="G27" s="29" t="s">
        <v>13</v>
      </c>
      <c r="H27" s="70">
        <v>2</v>
      </c>
      <c r="I27" s="59" t="str">
        <f>IF(Units!B4=TRUE,"bar","psi")</f>
        <v>bar</v>
      </c>
      <c r="J27" s="24"/>
      <c r="K27" s="24"/>
      <c r="M27" s="167" t="s">
        <v>126</v>
      </c>
      <c r="N27" s="65"/>
      <c r="O27" s="65"/>
      <c r="P27" s="67">
        <f>IF(Berechnungen!F54=1,Berechnungen!G51,"XXXX")</f>
        <v>1</v>
      </c>
      <c r="Q27" s="66"/>
    </row>
    <row r="28" spans="2:17" ht="14.25" customHeight="1" thickBot="1" x14ac:dyDescent="0.2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1"/>
      <c r="M28" s="5" t="s">
        <v>73</v>
      </c>
      <c r="N28" s="33"/>
      <c r="O28" s="33"/>
      <c r="P28" s="105">
        <f>Berechnungen!D28</f>
        <v>1028.80658436214</v>
      </c>
      <c r="Q28" s="3" t="s">
        <v>2</v>
      </c>
    </row>
    <row r="29" spans="2:17" ht="14.25" customHeight="1" thickBot="1" x14ac:dyDescent="0.25">
      <c r="B29" s="179" t="s">
        <v>15</v>
      </c>
      <c r="C29" s="180"/>
      <c r="D29" s="180"/>
      <c r="E29" s="181"/>
      <c r="F29" s="24"/>
      <c r="G29" s="24"/>
      <c r="H29" s="24"/>
      <c r="I29" s="24"/>
      <c r="J29" s="24"/>
      <c r="K29" s="24"/>
      <c r="L29" s="1"/>
      <c r="M29" s="5" t="s">
        <v>107</v>
      </c>
      <c r="N29" s="33"/>
      <c r="O29" s="33"/>
      <c r="P29" s="106">
        <f>IF(Berechnungen!F54=1,Berechnungen!D33,"XXXX")</f>
        <v>16.341975308641977</v>
      </c>
      <c r="Q29" s="3" t="s">
        <v>3</v>
      </c>
    </row>
    <row r="30" spans="2:17" ht="14.25" customHeight="1" thickBot="1" x14ac:dyDescent="0.25">
      <c r="B30" s="193" t="s">
        <v>16</v>
      </c>
      <c r="C30" s="194"/>
      <c r="D30" s="68">
        <v>47000</v>
      </c>
      <c r="E30" s="18" t="s">
        <v>1</v>
      </c>
      <c r="F30" s="24"/>
      <c r="G30" s="24"/>
      <c r="H30" s="24"/>
      <c r="I30" s="24"/>
      <c r="J30" s="24"/>
      <c r="K30" s="24"/>
      <c r="L30" s="1"/>
      <c r="M30" s="164" t="s">
        <v>102</v>
      </c>
      <c r="N30" s="35"/>
      <c r="O30" s="35"/>
      <c r="P30" s="168">
        <f>IF(Berechnungen!F54=1,Berechnungen!D26,"XXXX")</f>
        <v>0.43463886063072188</v>
      </c>
      <c r="Q30" s="59" t="str">
        <f>IF(Units!B7=TRUE,"m³/h","gpm")</f>
        <v>m³/h</v>
      </c>
    </row>
    <row r="31" spans="2:17" ht="15.75" customHeight="1" thickBot="1" x14ac:dyDescent="0.25">
      <c r="B31" s="177" t="s">
        <v>21</v>
      </c>
      <c r="C31" s="178"/>
      <c r="D31" s="71">
        <v>18</v>
      </c>
      <c r="E31" s="59" t="str">
        <f>IF(Units!B10=TRUE,"°C","°F")</f>
        <v>°C</v>
      </c>
      <c r="F31" s="24"/>
      <c r="G31" s="24"/>
      <c r="H31" s="189" t="s">
        <v>167</v>
      </c>
      <c r="I31" s="190"/>
      <c r="J31" s="190"/>
      <c r="K31" s="191"/>
      <c r="L31" s="1"/>
      <c r="M31" s="161" t="s">
        <v>32</v>
      </c>
      <c r="N31" s="162"/>
      <c r="O31" s="162"/>
      <c r="P31" s="162"/>
      <c r="Q31" s="163"/>
    </row>
    <row r="32" spans="2:17" ht="14.25" customHeight="1" x14ac:dyDescent="0.2">
      <c r="B32" s="24"/>
      <c r="C32" s="24"/>
      <c r="D32" s="24"/>
      <c r="E32" s="24"/>
      <c r="F32" s="24"/>
      <c r="G32" s="44"/>
      <c r="H32" s="195" t="str">
        <f>IF(OR(D11&gt;P13,H27&lt;P14,D31&gt;P15,D11&lt;P12,P28&lt;P16),"Please consider Limiting Values for Operation!",IF(D30&gt;50000,"Maximum Salinity is 50000 ppm!","- none -"))</f>
        <v>- none -</v>
      </c>
      <c r="I32" s="196"/>
      <c r="J32" s="196"/>
      <c r="K32" s="197"/>
      <c r="L32" s="100"/>
      <c r="M32" s="160" t="s">
        <v>40</v>
      </c>
      <c r="N32" s="159"/>
      <c r="O32" s="159"/>
      <c r="P32" s="31">
        <f>IF(Berechnungen!F54=1,Berechnungen!D35,"XXXX")</f>
        <v>10.130243665374886</v>
      </c>
      <c r="Q32" s="32" t="s">
        <v>3</v>
      </c>
    </row>
    <row r="33" spans="2:17" ht="14.25" customHeight="1" thickBot="1" x14ac:dyDescent="0.25">
      <c r="B33" s="24"/>
      <c r="C33" s="24"/>
      <c r="D33" s="24"/>
      <c r="E33" s="24"/>
      <c r="F33" s="24"/>
      <c r="G33" s="44"/>
      <c r="H33" s="198"/>
      <c r="I33" s="199"/>
      <c r="J33" s="199"/>
      <c r="K33" s="200"/>
      <c r="L33" s="100"/>
      <c r="M33" s="5" t="s">
        <v>33</v>
      </c>
      <c r="N33" s="33"/>
      <c r="O33" s="33"/>
      <c r="P33" s="107">
        <v>0.16</v>
      </c>
      <c r="Q33" s="3" t="s">
        <v>9</v>
      </c>
    </row>
    <row r="34" spans="2:17" ht="14.25" customHeight="1" x14ac:dyDescent="0.2">
      <c r="L34" s="100"/>
      <c r="M34" s="5" t="s">
        <v>34</v>
      </c>
      <c r="N34" s="33"/>
      <c r="O34" s="33"/>
      <c r="P34" s="31">
        <f>IF(Berechnungen!F54=1,Berechnungen!D36,"XXXX")</f>
        <v>2.4312584796899723</v>
      </c>
      <c r="Q34" s="3" t="s">
        <v>113</v>
      </c>
    </row>
    <row r="35" spans="2:17" ht="14.25" customHeight="1" x14ac:dyDescent="0.2">
      <c r="L35" s="100"/>
      <c r="M35" s="5" t="s">
        <v>41</v>
      </c>
      <c r="N35" s="33"/>
      <c r="O35" s="33"/>
      <c r="P35" s="31">
        <f>IF(Berechnungen!F54=1,Berechnungen!D37,"XXXX")</f>
        <v>0.3890013567503956</v>
      </c>
      <c r="Q35" s="3" t="s">
        <v>112</v>
      </c>
    </row>
    <row r="36" spans="2:17" ht="14.25" customHeight="1" x14ac:dyDescent="0.2">
      <c r="H36" s="21"/>
      <c r="I36" s="21"/>
      <c r="J36" s="21"/>
      <c r="K36" s="21"/>
      <c r="L36" s="100"/>
      <c r="M36" s="5" t="s">
        <v>91</v>
      </c>
      <c r="N36" s="33"/>
      <c r="O36" s="33"/>
      <c r="P36" s="108">
        <f>IF(Berechnungen!F54=1,Berechnungen!D38,"XXXX")</f>
        <v>176735.43667123912</v>
      </c>
      <c r="Q36" s="3" t="s">
        <v>97</v>
      </c>
    </row>
    <row r="37" spans="2:17" ht="14.25" customHeight="1" x14ac:dyDescent="0.2">
      <c r="B37" s="192"/>
      <c r="C37" s="192"/>
      <c r="D37" s="192"/>
      <c r="E37" s="192"/>
      <c r="F37" s="169" t="s">
        <v>436</v>
      </c>
      <c r="H37" s="21"/>
      <c r="I37" s="202" t="s">
        <v>440</v>
      </c>
      <c r="J37" s="202"/>
      <c r="K37" s="21"/>
      <c r="L37" s="100"/>
      <c r="M37" s="5" t="s">
        <v>129</v>
      </c>
      <c r="N37" s="33"/>
      <c r="O37" s="33"/>
      <c r="P37" s="108">
        <f>IF(Berechnungen!F54=1,Berechnungen!D39,"XXXX")</f>
        <v>106.92493918609966</v>
      </c>
      <c r="Q37" s="3" t="s">
        <v>37</v>
      </c>
    </row>
    <row r="38" spans="2:17" ht="14.25" customHeight="1" thickBot="1" x14ac:dyDescent="0.25">
      <c r="B38" t="s">
        <v>27</v>
      </c>
      <c r="M38" s="34" t="s">
        <v>36</v>
      </c>
      <c r="N38" s="35"/>
      <c r="O38" s="35"/>
      <c r="P38" s="45">
        <f>IF(Berechnungen!F54=1,Berechnungen!D40,"XXXX")</f>
        <v>28277.669867398261</v>
      </c>
      <c r="Q38" s="36" t="s">
        <v>11</v>
      </c>
    </row>
    <row r="39" spans="2:17" ht="14.25" hidden="1" customHeight="1" x14ac:dyDescent="0.2"/>
  </sheetData>
  <sheetProtection password="FEC7" sheet="1" objects="1" scenarios="1" selectLockedCells="1"/>
  <customSheetViews>
    <customSheetView guid="{CA5DEE9B-8C07-4C66-8968-31FD351A4FB5}" scale="90" showPageBreaks="1" showGridLines="0" hiddenRows="1" hiddenColumns="1" view="pageLayout">
      <selection activeCell="P22" sqref="P22"/>
      <pageMargins left="0.19685039370078741" right="0.15625" top="0.11811023622047245" bottom="0.11811023622047245" header="0.31496062992125984" footer="0.31496062992125984"/>
      <pageSetup paperSize="9" orientation="landscape" r:id="rId1"/>
    </customSheetView>
  </customSheetViews>
  <mergeCells count="26">
    <mergeCell ref="A1:Q1"/>
    <mergeCell ref="G4:I4"/>
    <mergeCell ref="H7:J7"/>
    <mergeCell ref="B9:E9"/>
    <mergeCell ref="B10:C10"/>
    <mergeCell ref="B3:E3"/>
    <mergeCell ref="M7:O7"/>
    <mergeCell ref="M10:Q10"/>
    <mergeCell ref="H31:K31"/>
    <mergeCell ref="B37:E37"/>
    <mergeCell ref="B23:C23"/>
    <mergeCell ref="M25:Q25"/>
    <mergeCell ref="B24:C24"/>
    <mergeCell ref="H32:K33"/>
    <mergeCell ref="G25:I25"/>
    <mergeCell ref="B29:E29"/>
    <mergeCell ref="B30:C30"/>
    <mergeCell ref="B31:C31"/>
    <mergeCell ref="P23:Q23"/>
    <mergeCell ref="I37:J37"/>
    <mergeCell ref="B11:C11"/>
    <mergeCell ref="G14:I14"/>
    <mergeCell ref="B22:E22"/>
    <mergeCell ref="M18:Q18"/>
    <mergeCell ref="M19:N19"/>
    <mergeCell ref="P21:Q21"/>
  </mergeCells>
  <dataValidations count="4">
    <dataValidation type="list" allowBlank="1" showInputMessage="1" showErrorMessage="1" errorTitle="Invalid Input" error="Maximum operating pressure has to be 70bar or 80bar." sqref="P13">
      <formula1>Maxoppress1</formula1>
    </dataValidation>
    <dataValidation type="list" allowBlank="1" showInputMessage="1" showErrorMessage="1" errorTitle="Warning" error="Recovery Rate has to be between 25% and 50%." sqref="H5">
      <formula1>RR</formula1>
    </dataValidation>
    <dataValidation type="list" allowBlank="1" showInputMessage="1" showErrorMessage="1" sqref="P21:Q21">
      <formula1>Motor</formula1>
    </dataValidation>
    <dataValidation type="list" allowBlank="1" showInputMessage="1" showErrorMessage="1" sqref="P23:Q23">
      <formula1>FU</formula1>
    </dataValidation>
  </dataValidations>
  <hyperlinks>
    <hyperlink ref="F37" r:id="rId2"/>
  </hyperlinks>
  <pageMargins left="0.19685039370078741" right="0.15625" top="0.11811023622047245" bottom="0.11811023622047245" header="0.31496062992125984" footer="0.31496062992125984"/>
  <pageSetup paperSize="9" scale="97" orientation="landscape" r:id="rId3"/>
  <drawing r:id="rId4"/>
  <legacyDrawing r:id="rId5"/>
  <controls>
    <mc:AlternateContent xmlns:mc="http://schemas.openxmlformats.org/markup-compatibility/2006">
      <mc:Choice Requires="x14">
        <control shapeId="1034" r:id="rId6" name="°F">
          <controlPr locked="0" autoLine="0" linkedCell="Units!B11" r:id="rId7">
            <anchor moveWithCells="1">
              <from>
                <xdr:col>4</xdr:col>
                <xdr:colOff>47625</xdr:colOff>
                <xdr:row>4</xdr:row>
                <xdr:rowOff>209550</xdr:rowOff>
              </from>
              <to>
                <xdr:col>4</xdr:col>
                <xdr:colOff>514350</xdr:colOff>
                <xdr:row>5</xdr:row>
                <xdr:rowOff>257175</xdr:rowOff>
              </to>
            </anchor>
          </controlPr>
        </control>
      </mc:Choice>
      <mc:Fallback>
        <control shapeId="1034" r:id="rId6" name="°F"/>
      </mc:Fallback>
    </mc:AlternateContent>
    <mc:AlternateContent xmlns:mc="http://schemas.openxmlformats.org/markup-compatibility/2006">
      <mc:Choice Requires="x14">
        <control shapeId="1033" r:id="rId8" name="°C">
          <controlPr locked="0" autoLine="0" linkedCell="Units!B10" r:id="rId9">
            <anchor moveWithCells="1">
              <from>
                <xdr:col>3</xdr:col>
                <xdr:colOff>28575</xdr:colOff>
                <xdr:row>5</xdr:row>
                <xdr:rowOff>0</xdr:rowOff>
              </from>
              <to>
                <xdr:col>3</xdr:col>
                <xdr:colOff>371475</xdr:colOff>
                <xdr:row>5</xdr:row>
                <xdr:rowOff>180975</xdr:rowOff>
              </to>
            </anchor>
          </controlPr>
        </control>
      </mc:Choice>
      <mc:Fallback>
        <control shapeId="1033" r:id="rId8" name="°C"/>
      </mc:Fallback>
    </mc:AlternateContent>
    <mc:AlternateContent xmlns:mc="http://schemas.openxmlformats.org/markup-compatibility/2006">
      <mc:Choice Requires="x14">
        <control shapeId="1032" r:id="rId10" name="gpm">
          <controlPr locked="0" autoLine="0" linkedCell="Units!B8" r:id="rId11">
            <anchor moveWithCells="1">
              <from>
                <xdr:col>4</xdr:col>
                <xdr:colOff>47625</xdr:colOff>
                <xdr:row>4</xdr:row>
                <xdr:rowOff>9525</xdr:rowOff>
              </from>
              <to>
                <xdr:col>4</xdr:col>
                <xdr:colOff>657225</xdr:colOff>
                <xdr:row>5</xdr:row>
                <xdr:rowOff>66675</xdr:rowOff>
              </to>
            </anchor>
          </controlPr>
        </control>
      </mc:Choice>
      <mc:Fallback>
        <control shapeId="1032" r:id="rId10" name="gpm"/>
      </mc:Fallback>
    </mc:AlternateContent>
    <mc:AlternateContent xmlns:mc="http://schemas.openxmlformats.org/markup-compatibility/2006">
      <mc:Choice Requires="x14">
        <control shapeId="1031" r:id="rId12" name="flow">
          <controlPr locked="0" autoLine="0" linkedCell="Units!B7" r:id="rId13">
            <anchor moveWithCells="1">
              <from>
                <xdr:col>3</xdr:col>
                <xdr:colOff>28575</xdr:colOff>
                <xdr:row>4</xdr:row>
                <xdr:rowOff>19050</xdr:rowOff>
              </from>
              <to>
                <xdr:col>4</xdr:col>
                <xdr:colOff>0</xdr:colOff>
                <xdr:row>4</xdr:row>
                <xdr:rowOff>209550</xdr:rowOff>
              </to>
            </anchor>
          </controlPr>
        </control>
      </mc:Choice>
      <mc:Fallback>
        <control shapeId="1031" r:id="rId12" name="flow"/>
      </mc:Fallback>
    </mc:AlternateContent>
    <mc:AlternateContent xmlns:mc="http://schemas.openxmlformats.org/markup-compatibility/2006">
      <mc:Choice Requires="x14">
        <control shapeId="1030" r:id="rId14" name="psi">
          <controlPr autoLine="0" linkedCell="Units!B5" r:id="rId15">
            <anchor moveWithCells="1">
              <from>
                <xdr:col>4</xdr:col>
                <xdr:colOff>47625</xdr:colOff>
                <xdr:row>3</xdr:row>
                <xdr:rowOff>28575</xdr:rowOff>
              </from>
              <to>
                <xdr:col>4</xdr:col>
                <xdr:colOff>581025</xdr:colOff>
                <xdr:row>4</xdr:row>
                <xdr:rowOff>76200</xdr:rowOff>
              </to>
            </anchor>
          </controlPr>
        </control>
      </mc:Choice>
      <mc:Fallback>
        <control shapeId="1030" r:id="rId14" name="psi"/>
      </mc:Fallback>
    </mc:AlternateContent>
    <mc:AlternateContent xmlns:mc="http://schemas.openxmlformats.org/markup-compatibility/2006">
      <mc:Choice Requires="x14">
        <control shapeId="1029" r:id="rId16" name="bar">
          <controlPr locked="0" autoLine="0" linkedCell="Units!B4" r:id="rId17">
            <anchor moveWithCells="1">
              <from>
                <xdr:col>3</xdr:col>
                <xdr:colOff>28575</xdr:colOff>
                <xdr:row>3</xdr:row>
                <xdr:rowOff>28575</xdr:rowOff>
              </from>
              <to>
                <xdr:col>3</xdr:col>
                <xdr:colOff>419100</xdr:colOff>
                <xdr:row>4</xdr:row>
                <xdr:rowOff>9525</xdr:rowOff>
              </to>
            </anchor>
          </controlPr>
        </control>
      </mc:Choice>
      <mc:Fallback>
        <control shapeId="1029" r:id="rId16" name="ba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J69"/>
  <sheetViews>
    <sheetView showGridLines="0" showRowColHeaders="0" showRuler="0" showWhiteSpace="0" view="pageLayout" topLeftCell="A22" zoomScaleNormal="100" workbookViewId="0">
      <selection activeCell="E60" sqref="E60"/>
    </sheetView>
  </sheetViews>
  <sheetFormatPr baseColWidth="10" defaultColWidth="0" defaultRowHeight="12.75" zeroHeight="1" x14ac:dyDescent="0.2"/>
  <cols>
    <col min="1" max="1" width="7.42578125" customWidth="1"/>
    <col min="2" max="2" width="7.7109375" customWidth="1"/>
    <col min="3" max="3" width="13.7109375" customWidth="1"/>
    <col min="4" max="4" width="16.140625" customWidth="1"/>
    <col min="5" max="5" width="11.28515625" customWidth="1"/>
    <col min="6" max="6" width="8.85546875" customWidth="1"/>
    <col min="7" max="7" width="8.140625" customWidth="1"/>
    <col min="8" max="9" width="11.42578125" customWidth="1"/>
    <col min="10" max="10" width="6.7109375" customWidth="1"/>
    <col min="11" max="11" width="11.42578125" hidden="1" customWidth="1"/>
    <col min="12" max="16384" width="11.42578125" hidden="1"/>
  </cols>
  <sheetData>
    <row r="1" spans="1:9" ht="5.25" customHeight="1" x14ac:dyDescent="0.2">
      <c r="A1" s="94"/>
    </row>
    <row r="2" spans="1:9" ht="5.25" customHeight="1" x14ac:dyDescent="0.2"/>
    <row r="3" spans="1:9" ht="6.75" customHeight="1" x14ac:dyDescent="0.2"/>
    <row r="4" spans="1:9" ht="14.25" customHeight="1" x14ac:dyDescent="0.2">
      <c r="E4" s="55" t="s">
        <v>136</v>
      </c>
      <c r="F4" s="75"/>
    </row>
    <row r="5" spans="1:9" ht="13.5" customHeight="1" x14ac:dyDescent="0.2">
      <c r="B5" s="83" t="s">
        <v>165</v>
      </c>
      <c r="C5" s="82">
        <f ca="1">TODAY()</f>
        <v>43160</v>
      </c>
      <c r="E5" s="54" t="s">
        <v>135</v>
      </c>
      <c r="F5" s="76"/>
    </row>
    <row r="6" spans="1:9" ht="35.25" customHeight="1" x14ac:dyDescent="0.2"/>
    <row r="7" spans="1:9" ht="23.25" x14ac:dyDescent="0.3">
      <c r="B7" s="79" t="s">
        <v>134</v>
      </c>
      <c r="E7" s="78" t="s">
        <v>137</v>
      </c>
      <c r="F7" s="211"/>
      <c r="G7" s="211"/>
      <c r="H7" s="211"/>
      <c r="I7" s="211"/>
    </row>
    <row r="8" spans="1:9" x14ac:dyDescent="0.2">
      <c r="B8" s="2" t="s">
        <v>156</v>
      </c>
    </row>
    <row r="9" spans="1:9" ht="22.5" customHeight="1" x14ac:dyDescent="0.2"/>
    <row r="10" spans="1:9" ht="22.5" customHeight="1" x14ac:dyDescent="0.2">
      <c r="B10" s="213" t="s">
        <v>132</v>
      </c>
      <c r="C10" s="213"/>
      <c r="D10" s="213"/>
      <c r="E10" s="213"/>
      <c r="F10" s="213"/>
      <c r="G10" s="213"/>
      <c r="H10" s="213"/>
      <c r="I10" s="213"/>
    </row>
    <row r="11" spans="1:9" ht="13.5" customHeight="1" x14ac:dyDescent="0.2"/>
    <row r="12" spans="1:9" x14ac:dyDescent="0.2">
      <c r="D12" s="67" t="s">
        <v>160</v>
      </c>
      <c r="E12" s="58">
        <f>IF(Units!B4=TRUE,Berechnungen!I47,Berechnungen!I47*Units!E4)</f>
        <v>2.8719753086419755</v>
      </c>
      <c r="F12" s="64" t="str">
        <f>IF(Units!B4=TRUE,"bar","psi")</f>
        <v>bar</v>
      </c>
    </row>
    <row r="13" spans="1:9" ht="6" customHeight="1" x14ac:dyDescent="0.2">
      <c r="D13" s="67"/>
      <c r="E13" s="60"/>
      <c r="F13" s="2"/>
    </row>
    <row r="14" spans="1:9" x14ac:dyDescent="0.2">
      <c r="D14" s="67" t="s">
        <v>161</v>
      </c>
      <c r="E14" s="47">
        <f>IF(Units!B4=TRUE,30,30*Units!E4)</f>
        <v>30</v>
      </c>
      <c r="F14" s="64" t="str">
        <f>IF(Units!B4=TRUE,"bar","psi")</f>
        <v>bar</v>
      </c>
    </row>
    <row r="15" spans="1:9" ht="6" customHeight="1" x14ac:dyDescent="0.2">
      <c r="D15" s="67"/>
      <c r="E15" s="60"/>
    </row>
    <row r="16" spans="1:9" ht="14.25" customHeight="1" x14ac:dyDescent="0.2">
      <c r="D16" s="67" t="s">
        <v>162</v>
      </c>
      <c r="E16" s="60">
        <f>'Design Tool'!P13</f>
        <v>70</v>
      </c>
      <c r="F16" s="64" t="str">
        <f>IF(Units!B4=TRUE,"bar","psi")</f>
        <v>bar</v>
      </c>
    </row>
    <row r="17" spans="2:9" ht="6" customHeight="1" x14ac:dyDescent="0.2">
      <c r="D17" s="67"/>
      <c r="E17" s="60"/>
    </row>
    <row r="18" spans="2:9" ht="14.25" customHeight="1" x14ac:dyDescent="0.2">
      <c r="D18" s="73" t="s">
        <v>163</v>
      </c>
      <c r="E18" s="47">
        <f>IF(Units!B4=TRUE,2,2*Units!E4)</f>
        <v>2</v>
      </c>
      <c r="F18" s="64" t="str">
        <f>IF(Units!B4=TRUE,"bar","psi")</f>
        <v>bar</v>
      </c>
    </row>
    <row r="19" spans="2:9" ht="6" customHeight="1" x14ac:dyDescent="0.2">
      <c r="D19" s="73"/>
    </row>
    <row r="20" spans="2:9" ht="14.25" customHeight="1" x14ac:dyDescent="0.2">
      <c r="D20" s="67" t="s">
        <v>164</v>
      </c>
      <c r="E20" s="4">
        <f>IF(Units!B10=TRUE,50,50*1.8+32)</f>
        <v>50</v>
      </c>
      <c r="F20" s="64" t="str">
        <f>IF(Units!B10=TRUE,"°C","°F")</f>
        <v>°C</v>
      </c>
    </row>
    <row r="21" spans="2:9" ht="13.5" customHeight="1" x14ac:dyDescent="0.2"/>
    <row r="22" spans="2:9" ht="22.5" customHeight="1" x14ac:dyDescent="0.2">
      <c r="B22" s="214" t="s">
        <v>133</v>
      </c>
      <c r="C22" s="214"/>
      <c r="D22" s="214"/>
      <c r="E22" s="214"/>
      <c r="F22" s="214"/>
      <c r="G22" s="214"/>
      <c r="H22" s="214"/>
      <c r="I22" s="214"/>
    </row>
    <row r="23" spans="2:9" ht="13.5" customHeight="1" x14ac:dyDescent="0.2"/>
    <row r="24" spans="2:9" ht="14.25" customHeight="1" x14ac:dyDescent="0.2">
      <c r="D24" s="14" t="s">
        <v>139</v>
      </c>
      <c r="E24">
        <f>'Design Tool'!D30</f>
        <v>47000</v>
      </c>
      <c r="F24" s="2" t="s">
        <v>1</v>
      </c>
    </row>
    <row r="25" spans="2:9" ht="6" customHeight="1" x14ac:dyDescent="0.2">
      <c r="D25" s="74"/>
    </row>
    <row r="26" spans="2:9" ht="14.25" customHeight="1" x14ac:dyDescent="0.2">
      <c r="D26" s="14" t="s">
        <v>140</v>
      </c>
      <c r="E26" s="80">
        <f>'Design Tool'!H5</f>
        <v>30</v>
      </c>
      <c r="F26" s="2" t="s">
        <v>0</v>
      </c>
      <c r="G26" s="81"/>
    </row>
    <row r="27" spans="2:9" ht="6" customHeight="1" x14ac:dyDescent="0.2">
      <c r="D27" s="74"/>
    </row>
    <row r="28" spans="2:9" ht="14.25" customHeight="1" x14ac:dyDescent="0.2">
      <c r="D28" s="14" t="s">
        <v>157</v>
      </c>
      <c r="E28" s="91">
        <f>'Design Tool'!N8</f>
        <v>4.166666666666667</v>
      </c>
      <c r="F28" s="64" t="str">
        <f>IF(Units!B7=TRUE,"m³/h","gpm")</f>
        <v>m³/h</v>
      </c>
    </row>
    <row r="29" spans="2:9" ht="6" customHeight="1" x14ac:dyDescent="0.2">
      <c r="D29" s="74"/>
    </row>
    <row r="30" spans="2:9" ht="14.25" customHeight="1" x14ac:dyDescent="0.2">
      <c r="D30" s="14" t="s">
        <v>141</v>
      </c>
      <c r="E30" s="60">
        <f>'Design Tool'!D11</f>
        <v>65</v>
      </c>
      <c r="F30" s="64" t="str">
        <f>IF(Units!B4=TRUE,"bar","psi")</f>
        <v>bar</v>
      </c>
    </row>
    <row r="31" spans="2:9" ht="6" customHeight="1" x14ac:dyDescent="0.2">
      <c r="B31" s="2"/>
    </row>
    <row r="32" spans="2:9" ht="14.25" customHeight="1" x14ac:dyDescent="0.2">
      <c r="D32" s="14" t="s">
        <v>142</v>
      </c>
      <c r="E32" s="80">
        <f>'Design Tool'!D31</f>
        <v>18</v>
      </c>
      <c r="F32" s="64" t="str">
        <f>IF(Units!B10=TRUE,"°C","°F")</f>
        <v>°C</v>
      </c>
    </row>
    <row r="33" spans="2:9" ht="13.5" customHeight="1" x14ac:dyDescent="0.2"/>
    <row r="34" spans="2:9" ht="22.5" customHeight="1" x14ac:dyDescent="0.2">
      <c r="B34" s="214" t="s">
        <v>158</v>
      </c>
      <c r="C34" s="214"/>
      <c r="D34" s="214"/>
      <c r="E34" s="214"/>
      <c r="F34" s="214"/>
      <c r="G34" s="214"/>
      <c r="H34" s="214"/>
      <c r="I34" s="214"/>
    </row>
    <row r="35" spans="2:9" ht="13.5" customHeight="1" x14ac:dyDescent="0.2"/>
    <row r="36" spans="2:9" ht="14.25" customHeight="1" x14ac:dyDescent="0.2">
      <c r="D36" s="67" t="s">
        <v>143</v>
      </c>
      <c r="E36" s="74">
        <f>IF(Berechnungen!F54=1,Berechnungen!G51,"XXXX")</f>
        <v>1</v>
      </c>
    </row>
    <row r="37" spans="2:9" ht="6" customHeight="1" x14ac:dyDescent="0.2">
      <c r="D37" s="74"/>
    </row>
    <row r="38" spans="2:9" ht="14.25" customHeight="1" x14ac:dyDescent="0.2">
      <c r="D38" s="14" t="s">
        <v>144</v>
      </c>
      <c r="E38" s="91">
        <f>IF(Berechnungen!F54=1,Berechnungen!D24,"XXXX")</f>
        <v>14.129083305075168</v>
      </c>
      <c r="F38" s="64" t="str">
        <f>IF(Units!B7=TRUE,"m³/h","gpm")</f>
        <v>m³/h</v>
      </c>
    </row>
    <row r="39" spans="2:9" ht="6" customHeight="1" x14ac:dyDescent="0.2">
      <c r="D39" s="74"/>
      <c r="E39" s="91"/>
    </row>
    <row r="40" spans="2:9" ht="14.25" customHeight="1" x14ac:dyDescent="0.2">
      <c r="D40" s="14" t="s">
        <v>145</v>
      </c>
      <c r="E40" s="91">
        <f>IF(Berechnungen!F54=1,Berechnungen!D25,"XXXX")</f>
        <v>9.5277777777777803</v>
      </c>
      <c r="F40" s="64" t="str">
        <f>IF(Units!B7=TRUE,"m³/h","gpm")</f>
        <v>m³/h</v>
      </c>
    </row>
    <row r="41" spans="2:9" ht="6" customHeight="1" x14ac:dyDescent="0.2">
      <c r="D41" s="74"/>
      <c r="E41" s="60"/>
    </row>
    <row r="42" spans="2:9" ht="14.25" customHeight="1" x14ac:dyDescent="0.2">
      <c r="D42" s="14" t="s">
        <v>166</v>
      </c>
      <c r="E42" s="80">
        <f>Berechnungen!D28</f>
        <v>1028.80658436214</v>
      </c>
      <c r="F42" s="64" t="s">
        <v>2</v>
      </c>
    </row>
    <row r="43" spans="2:9" ht="6" customHeight="1" x14ac:dyDescent="0.2">
      <c r="D43" s="74"/>
    </row>
    <row r="44" spans="2:9" ht="14.25" customHeight="1" x14ac:dyDescent="0.2">
      <c r="D44" s="14" t="s">
        <v>146</v>
      </c>
      <c r="E44">
        <f>'Design Tool'!P20</f>
        <v>1</v>
      </c>
      <c r="F44" s="64" t="str">
        <f>IF(Units!B4=TRUE,"bar","psi")</f>
        <v>bar</v>
      </c>
    </row>
    <row r="45" spans="2:9" ht="6" customHeight="1" x14ac:dyDescent="0.2">
      <c r="D45" s="74"/>
    </row>
    <row r="46" spans="2:9" ht="14.25" customHeight="1" x14ac:dyDescent="0.2">
      <c r="D46" s="14" t="s">
        <v>147</v>
      </c>
      <c r="E46" s="12">
        <f>'Design Tool'!P33</f>
        <v>0.16</v>
      </c>
      <c r="F46" s="4" t="s">
        <v>9</v>
      </c>
    </row>
    <row r="47" spans="2:9" ht="13.5" customHeight="1" x14ac:dyDescent="0.2"/>
    <row r="48" spans="2:9" ht="22.5" customHeight="1" x14ac:dyDescent="0.2">
      <c r="B48" s="214" t="s">
        <v>159</v>
      </c>
      <c r="C48" s="214"/>
      <c r="D48" s="214"/>
      <c r="E48" s="214"/>
      <c r="F48" s="214"/>
      <c r="G48" s="214"/>
      <c r="H48" s="214"/>
      <c r="I48" s="214"/>
    </row>
    <row r="49" spans="4:7" ht="13.5" customHeight="1" x14ac:dyDescent="0.2"/>
    <row r="50" spans="4:7" ht="14.25" customHeight="1" x14ac:dyDescent="0.2">
      <c r="D50" s="14" t="s">
        <v>148</v>
      </c>
      <c r="E50" s="212" t="s">
        <v>138</v>
      </c>
      <c r="F50" s="212"/>
      <c r="G50" s="212"/>
    </row>
    <row r="51" spans="4:7" ht="6" customHeight="1" x14ac:dyDescent="0.2">
      <c r="D51" s="74"/>
    </row>
    <row r="52" spans="4:7" ht="14.25" customHeight="1" x14ac:dyDescent="0.2">
      <c r="D52" s="14" t="s">
        <v>149</v>
      </c>
      <c r="E52">
        <f>'Design Tool'!P22</f>
        <v>90</v>
      </c>
      <c r="F52" s="2" t="s">
        <v>0</v>
      </c>
    </row>
    <row r="53" spans="4:7" ht="6" customHeight="1" x14ac:dyDescent="0.2">
      <c r="D53" s="74"/>
    </row>
    <row r="54" spans="4:7" ht="14.25" customHeight="1" x14ac:dyDescent="0.2">
      <c r="D54" s="14" t="s">
        <v>150</v>
      </c>
      <c r="E54">
        <f>'Design Tool'!P24</f>
        <v>90</v>
      </c>
      <c r="F54" s="2" t="s">
        <v>0</v>
      </c>
    </row>
    <row r="55" spans="4:7" ht="6" customHeight="1" x14ac:dyDescent="0.2">
      <c r="D55" s="74"/>
    </row>
    <row r="56" spans="4:7" ht="14.25" customHeight="1" x14ac:dyDescent="0.2">
      <c r="D56" s="14" t="s">
        <v>151</v>
      </c>
      <c r="E56" s="90">
        <f>IF(Berechnungen!F54=1,Berechnungen!D35,"XXXX")</f>
        <v>10.130243665374886</v>
      </c>
      <c r="F56" s="2" t="s">
        <v>3</v>
      </c>
    </row>
    <row r="57" spans="4:7" ht="6" customHeight="1" x14ac:dyDescent="0.2">
      <c r="D57" s="74"/>
      <c r="E57" s="74"/>
    </row>
    <row r="58" spans="4:7" ht="14.25" customHeight="1" x14ac:dyDescent="0.2">
      <c r="D58" s="14" t="s">
        <v>152</v>
      </c>
      <c r="E58" s="90">
        <f>IF(Berechnungen!F54=1,Berechnungen!I35,"XXXX")</f>
        <v>10.94326322206981</v>
      </c>
      <c r="F58" s="2" t="s">
        <v>3</v>
      </c>
    </row>
    <row r="59" spans="4:7" ht="6" customHeight="1" x14ac:dyDescent="0.2">
      <c r="D59" s="74"/>
      <c r="E59" s="74"/>
    </row>
    <row r="60" spans="4:7" ht="14.25" customHeight="1" x14ac:dyDescent="0.2">
      <c r="D60" s="14" t="s">
        <v>153</v>
      </c>
      <c r="E60" s="90">
        <f>IF(Berechnungen!F54=1,Berechnungen!D36,"XXXX")</f>
        <v>2.4312584796899723</v>
      </c>
      <c r="F60" s="4" t="s">
        <v>113</v>
      </c>
    </row>
    <row r="61" spans="4:7" ht="6" customHeight="1" x14ac:dyDescent="0.2">
      <c r="D61" s="74"/>
      <c r="E61" s="74"/>
    </row>
    <row r="62" spans="4:7" ht="14.25" customHeight="1" x14ac:dyDescent="0.3">
      <c r="D62" s="14" t="s">
        <v>154</v>
      </c>
      <c r="E62" s="90">
        <f>IF(Berechnungen!F54=1,Berechnungen!D39,"XXXX")</f>
        <v>106.92493918609966</v>
      </c>
      <c r="F62" s="4" t="s">
        <v>37</v>
      </c>
    </row>
    <row r="63" spans="4:7" ht="6" customHeight="1" x14ac:dyDescent="0.2">
      <c r="D63" s="74"/>
      <c r="E63" s="74"/>
    </row>
    <row r="64" spans="4:7" ht="14.25" customHeight="1" x14ac:dyDescent="0.2">
      <c r="D64" s="77" t="s">
        <v>155</v>
      </c>
      <c r="E64" s="90">
        <f>IF(Berechnungen!F54=1,Berechnungen!D40,"XXXX")</f>
        <v>28277.669867398261</v>
      </c>
      <c r="F64" s="8" t="s">
        <v>11</v>
      </c>
    </row>
    <row r="65" spans="2:2" ht="14.25" customHeight="1" x14ac:dyDescent="0.2"/>
    <row r="66" spans="2:2" ht="9.75" customHeight="1" x14ac:dyDescent="0.2"/>
    <row r="67" spans="2:2" ht="16.5" customHeight="1" x14ac:dyDescent="0.2"/>
    <row r="68" spans="2:2" ht="16.5" customHeight="1" x14ac:dyDescent="0.2">
      <c r="B68" t="s">
        <v>27</v>
      </c>
    </row>
    <row r="69" spans="2:2" ht="6.75" hidden="1" customHeight="1" x14ac:dyDescent="0.2"/>
  </sheetData>
  <sheetProtection selectLockedCells="1"/>
  <customSheetViews>
    <customSheetView guid="{CA5DEE9B-8C07-4C66-8968-31FD351A4FB5}" showPageBreaks="1" showGridLines="0" showRowCol="0" hiddenRows="1" hiddenColumns="1" state="hidden" view="pageLayout" showRuler="0" topLeftCell="A13">
      <selection activeCell="G14" sqref="G14"/>
      <pageMargins left="0.125" right="8.3333333333333329E-2" top="0.16666666666666666" bottom="0.15625" header="0.3" footer="0.3"/>
      <pageSetup paperSize="9" fitToWidth="0" fitToHeight="0" orientation="portrait" r:id="rId1"/>
    </customSheetView>
  </customSheetViews>
  <mergeCells count="6">
    <mergeCell ref="F7:I7"/>
    <mergeCell ref="E50:G50"/>
    <mergeCell ref="B10:I10"/>
    <mergeCell ref="B22:I22"/>
    <mergeCell ref="B34:I34"/>
    <mergeCell ref="B48:I48"/>
  </mergeCells>
  <pageMargins left="0.125" right="8.3333333333333329E-2" top="0.16666666666666666" bottom="0.15625" header="0.3" footer="0.3"/>
  <pageSetup paperSize="9" fitToWidth="0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2:K85"/>
  <sheetViews>
    <sheetView topLeftCell="A22" workbookViewId="0">
      <selection activeCell="G51" sqref="G51"/>
    </sheetView>
  </sheetViews>
  <sheetFormatPr baseColWidth="10" defaultRowHeight="12.75" x14ac:dyDescent="0.2"/>
  <cols>
    <col min="2" max="2" width="28.28515625" customWidth="1"/>
    <col min="3" max="3" width="16.140625" bestFit="1" customWidth="1"/>
    <col min="7" max="7" width="14.5703125" customWidth="1"/>
    <col min="8" max="8" width="28.42578125" customWidth="1"/>
  </cols>
  <sheetData>
    <row r="2" spans="1:11" ht="18" x14ac:dyDescent="0.25">
      <c r="A2" s="9" t="s">
        <v>43</v>
      </c>
    </row>
    <row r="4" spans="1:11" ht="15.75" x14ac:dyDescent="0.2">
      <c r="A4" s="11" t="s">
        <v>29</v>
      </c>
      <c r="B4" s="22" t="s">
        <v>44</v>
      </c>
      <c r="C4" s="22" t="s">
        <v>7</v>
      </c>
      <c r="D4" s="25">
        <f>ROUND('Design Tool'!H5,0)</f>
        <v>30</v>
      </c>
      <c r="E4" s="22" t="s">
        <v>0</v>
      </c>
      <c r="G4" s="27" t="s">
        <v>66</v>
      </c>
      <c r="H4" s="22" t="s">
        <v>68</v>
      </c>
      <c r="I4" s="22" t="s">
        <v>67</v>
      </c>
      <c r="J4" s="24">
        <v>225</v>
      </c>
      <c r="K4" s="22" t="s">
        <v>118</v>
      </c>
    </row>
    <row r="5" spans="1:11" ht="15.75" x14ac:dyDescent="0.2">
      <c r="B5" s="22" t="s">
        <v>45</v>
      </c>
      <c r="C5" s="22" t="s">
        <v>46</v>
      </c>
      <c r="D5" s="25">
        <f>'Design Tool'!D11</f>
        <v>65</v>
      </c>
      <c r="E5" s="64" t="str">
        <f>IF(Units!B4=TRUE,"bar","psi")</f>
        <v>bar</v>
      </c>
      <c r="G5" s="24"/>
      <c r="H5" s="22" t="s">
        <v>69</v>
      </c>
      <c r="I5" s="22" t="s">
        <v>70</v>
      </c>
      <c r="J5" s="24">
        <v>97.6</v>
      </c>
      <c r="K5" s="22" t="s">
        <v>0</v>
      </c>
    </row>
    <row r="6" spans="1:11" ht="15.75" x14ac:dyDescent="0.2">
      <c r="B6" s="22" t="s">
        <v>24</v>
      </c>
      <c r="C6" s="22" t="s">
        <v>110</v>
      </c>
      <c r="D6" s="25">
        <f>'Design Tool'!P13</f>
        <v>70</v>
      </c>
      <c r="E6" s="64" t="str">
        <f>IF(Units!B4=TRUE,"bar","psi")</f>
        <v>bar</v>
      </c>
      <c r="G6" s="24"/>
      <c r="H6" s="22" t="s">
        <v>72</v>
      </c>
      <c r="I6" s="22" t="s">
        <v>71</v>
      </c>
      <c r="J6" s="22">
        <v>98.3</v>
      </c>
      <c r="K6" s="22" t="s">
        <v>0</v>
      </c>
    </row>
    <row r="7" spans="1:11" ht="15.75" x14ac:dyDescent="0.2">
      <c r="B7" s="22" t="s">
        <v>30</v>
      </c>
      <c r="C7" s="22" t="s">
        <v>47</v>
      </c>
      <c r="D7" s="25">
        <f>IF(Units!B7=TRUE,D8/24,D8)</f>
        <v>4.166666666666667</v>
      </c>
      <c r="E7" s="64" t="str">
        <f>IF(Units!B7=TRUE,"m3/h","gpm")</f>
        <v>m3/h</v>
      </c>
      <c r="G7" s="24"/>
      <c r="H7" s="22" t="s">
        <v>100</v>
      </c>
      <c r="I7" s="22" t="s">
        <v>101</v>
      </c>
      <c r="J7" s="22">
        <v>98</v>
      </c>
      <c r="K7" s="22" t="s">
        <v>0</v>
      </c>
    </row>
    <row r="8" spans="1:11" ht="15.75" x14ac:dyDescent="0.2">
      <c r="B8" s="22"/>
      <c r="C8" s="22"/>
      <c r="D8" s="25">
        <f>'Design Tool'!P19</f>
        <v>100</v>
      </c>
      <c r="E8" s="64" t="str">
        <f>IF(Units!B7=TRUE,"m3/d","gpm")</f>
        <v>m3/d</v>
      </c>
      <c r="G8" s="24"/>
      <c r="H8" s="22" t="s">
        <v>89</v>
      </c>
      <c r="I8" s="22" t="s">
        <v>88</v>
      </c>
      <c r="J8" s="22">
        <v>0.60499999999999998</v>
      </c>
      <c r="K8" s="22" t="s">
        <v>119</v>
      </c>
    </row>
    <row r="9" spans="1:11" ht="15.75" x14ac:dyDescent="0.2">
      <c r="B9" s="22" t="s">
        <v>48</v>
      </c>
      <c r="C9" s="22" t="s">
        <v>49</v>
      </c>
      <c r="D9" s="25">
        <f>'Design Tool'!D31</f>
        <v>18</v>
      </c>
      <c r="E9" s="64" t="str">
        <f>IF(Units!B10=TRUE,"°C","°F")</f>
        <v>°C</v>
      </c>
    </row>
    <row r="10" spans="1:11" ht="15.75" x14ac:dyDescent="0.2">
      <c r="B10" s="22" t="s">
        <v>50</v>
      </c>
      <c r="C10" s="22" t="s">
        <v>51</v>
      </c>
      <c r="D10" s="25">
        <f>'Design Tool'!D30</f>
        <v>47000</v>
      </c>
      <c r="E10" s="22" t="s">
        <v>1</v>
      </c>
    </row>
    <row r="11" spans="1:11" ht="14.25" x14ac:dyDescent="0.2">
      <c r="B11" s="22" t="s">
        <v>52</v>
      </c>
      <c r="C11" s="26" t="s">
        <v>53</v>
      </c>
      <c r="D11" s="25">
        <f>'Design Tool'!P20</f>
        <v>1</v>
      </c>
      <c r="E11" s="64" t="str">
        <f>IF(Units!B4=TRUE,"bar","psi")</f>
        <v>bar</v>
      </c>
    </row>
    <row r="12" spans="1:11" ht="15.75" x14ac:dyDescent="0.2">
      <c r="B12" s="22" t="s">
        <v>42</v>
      </c>
      <c r="C12" s="22" t="s">
        <v>54</v>
      </c>
      <c r="D12" s="25">
        <f>'Design Tool'!H27</f>
        <v>2</v>
      </c>
      <c r="E12" s="64" t="str">
        <f>IF(Units!B4=TRUE,"bar","psi")</f>
        <v>bar</v>
      </c>
    </row>
    <row r="13" spans="1:11" ht="15.75" x14ac:dyDescent="0.2">
      <c r="B13" s="22" t="s">
        <v>39</v>
      </c>
      <c r="C13" s="22" t="s">
        <v>55</v>
      </c>
      <c r="D13" s="25">
        <f>'Design Tool'!P22</f>
        <v>90</v>
      </c>
      <c r="E13" s="22" t="s">
        <v>0</v>
      </c>
    </row>
    <row r="14" spans="1:11" ht="15.75" x14ac:dyDescent="0.2">
      <c r="B14" s="22" t="s">
        <v>38</v>
      </c>
      <c r="C14" s="22" t="s">
        <v>56</v>
      </c>
      <c r="D14" s="25">
        <f>'Design Tool'!P24</f>
        <v>90</v>
      </c>
      <c r="E14" s="22" t="s">
        <v>0</v>
      </c>
    </row>
    <row r="15" spans="1:11" ht="15.75" x14ac:dyDescent="0.2">
      <c r="B15" s="22" t="s">
        <v>57</v>
      </c>
      <c r="C15" s="22" t="s">
        <v>8</v>
      </c>
      <c r="D15" s="25">
        <f>'Design Tool'!P33</f>
        <v>0.16</v>
      </c>
      <c r="E15" s="22" t="s">
        <v>9</v>
      </c>
    </row>
    <row r="16" spans="1:11" ht="15.75" x14ac:dyDescent="0.2">
      <c r="B16" s="22" t="s">
        <v>58</v>
      </c>
      <c r="C16" s="22" t="s">
        <v>59</v>
      </c>
      <c r="D16" s="25">
        <f>'Design Tool'!D24</f>
        <v>2.9</v>
      </c>
      <c r="E16" s="64" t="str">
        <f>IF(Units!B4=TRUE,"bar","psi")</f>
        <v>bar</v>
      </c>
    </row>
    <row r="17" spans="2:10" x14ac:dyDescent="0.2">
      <c r="B17" s="23"/>
      <c r="C17" s="23"/>
      <c r="D17" s="30"/>
      <c r="E17" s="23"/>
      <c r="G17" s="16"/>
      <c r="H17" s="17"/>
    </row>
    <row r="18" spans="2:10" x14ac:dyDescent="0.2">
      <c r="D18" s="12"/>
    </row>
    <row r="19" spans="2:10" x14ac:dyDescent="0.2">
      <c r="D19" s="13"/>
      <c r="E19" s="17" t="s">
        <v>96</v>
      </c>
      <c r="F19" s="2"/>
    </row>
    <row r="20" spans="2:10" ht="15.75" customHeight="1" x14ac:dyDescent="0.2"/>
    <row r="21" spans="2:10" ht="15.75" customHeight="1" x14ac:dyDescent="0.3">
      <c r="B21" s="2"/>
      <c r="C21" s="2"/>
      <c r="D21" s="12"/>
      <c r="E21" s="2"/>
      <c r="H21" s="14" t="s">
        <v>94</v>
      </c>
      <c r="I21" s="30">
        <f>D6</f>
        <v>70</v>
      </c>
      <c r="J21" s="22" t="s">
        <v>120</v>
      </c>
    </row>
    <row r="22" spans="2:10" ht="15.75" customHeight="1" x14ac:dyDescent="0.2">
      <c r="B22" s="22" t="s">
        <v>61</v>
      </c>
      <c r="C22" s="22" t="s">
        <v>60</v>
      </c>
      <c r="D22" s="15">
        <f>D7/(D4/100)</f>
        <v>13.888888888888891</v>
      </c>
      <c r="E22" s="64" t="str">
        <f>IF(Units!B7=TRUE,"m3/h","gpm")</f>
        <v>m3/h</v>
      </c>
      <c r="I22" s="46">
        <f>D7/(D4/100)</f>
        <v>13.888888888888891</v>
      </c>
      <c r="J22" s="64" t="str">
        <f>IF(Units!B7=TRUE,"m3/h","gpm")</f>
        <v>m3/h</v>
      </c>
    </row>
    <row r="23" spans="2:10" ht="15.75" customHeight="1" x14ac:dyDescent="0.2">
      <c r="B23" s="22" t="s">
        <v>63</v>
      </c>
      <c r="C23" s="22" t="s">
        <v>62</v>
      </c>
      <c r="D23" s="15">
        <f>D22-D7</f>
        <v>9.722222222222225</v>
      </c>
      <c r="E23" s="64" t="str">
        <f>IF(Units!B7=TRUE,"m3/h","gpm")</f>
        <v>m3/h</v>
      </c>
      <c r="I23" s="46">
        <f>I22-D7</f>
        <v>9.722222222222225</v>
      </c>
      <c r="J23" s="64" t="str">
        <f>IF(Units!B7=TRUE,"m3/h","gpm")</f>
        <v>m3/h</v>
      </c>
    </row>
    <row r="24" spans="2:10" ht="15.75" customHeight="1" x14ac:dyDescent="0.2">
      <c r="B24" s="22" t="s">
        <v>64</v>
      </c>
      <c r="C24" s="22" t="s">
        <v>65</v>
      </c>
      <c r="D24" s="15">
        <f>D22/J6*100</f>
        <v>14.129083305075168</v>
      </c>
      <c r="E24" s="64" t="str">
        <f>IF(Units!B7=TRUE,"m3/h","gpm")</f>
        <v>m3/h</v>
      </c>
      <c r="I24" s="46">
        <f>I22/J6*100</f>
        <v>14.129083305075168</v>
      </c>
      <c r="J24" s="64" t="str">
        <f>IF(Units!B7=TRUE,"m3/h","gpm")</f>
        <v>m3/h</v>
      </c>
    </row>
    <row r="25" spans="2:10" ht="15.75" customHeight="1" x14ac:dyDescent="0.2">
      <c r="B25" s="22" t="s">
        <v>104</v>
      </c>
      <c r="C25" s="22" t="s">
        <v>105</v>
      </c>
      <c r="D25" s="15">
        <f>D23*J7/100</f>
        <v>9.5277777777777803</v>
      </c>
      <c r="E25" s="64" t="str">
        <f>IF(Units!B7=TRUE,"m3/h","gpm")</f>
        <v>m3/h</v>
      </c>
      <c r="I25" s="46">
        <f>I23*J7/100</f>
        <v>9.5277777777777803</v>
      </c>
      <c r="J25" s="64" t="str">
        <f>IF(Units!B7=TRUE,"m3/h","gpm")</f>
        <v>m3/h</v>
      </c>
    </row>
    <row r="26" spans="2:10" ht="15.75" customHeight="1" x14ac:dyDescent="0.2">
      <c r="B26" s="22" t="s">
        <v>102</v>
      </c>
      <c r="C26" s="22" t="s">
        <v>103</v>
      </c>
      <c r="D26" s="15">
        <f>D24-D22+D23-D25</f>
        <v>0.43463886063072188</v>
      </c>
      <c r="E26" s="64" t="str">
        <f>IF(Units!B7=TRUE,"m3/h","gpm")</f>
        <v>m3/h</v>
      </c>
      <c r="I26" s="46">
        <f>I24-I22+I23-I25</f>
        <v>0.43463886063072188</v>
      </c>
      <c r="J26" s="64" t="str">
        <f>IF(Units!B7=TRUE,"m3/h","gpm")</f>
        <v>m3/h</v>
      </c>
    </row>
    <row r="27" spans="2:10" ht="15.75" customHeight="1" x14ac:dyDescent="0.2">
      <c r="B27" s="22" t="s">
        <v>127</v>
      </c>
      <c r="C27" s="22" t="s">
        <v>5</v>
      </c>
      <c r="D27" s="46">
        <f>D22/Units!E7*1000000/J4/60</f>
        <v>1028.80658436214</v>
      </c>
      <c r="E27" s="2" t="s">
        <v>2</v>
      </c>
      <c r="I27" s="46">
        <f>I22/Units!E7*1000000/J4/60</f>
        <v>1028.80658436214</v>
      </c>
      <c r="J27" s="2" t="s">
        <v>2</v>
      </c>
    </row>
    <row r="28" spans="2:10" ht="15.75" customHeight="1" x14ac:dyDescent="0.2">
      <c r="B28" s="22" t="s">
        <v>128</v>
      </c>
      <c r="C28" s="22" t="s">
        <v>5</v>
      </c>
      <c r="D28" s="15">
        <f>D27/G51</f>
        <v>1028.80658436214</v>
      </c>
      <c r="E28" s="2" t="s">
        <v>2</v>
      </c>
      <c r="I28" s="46">
        <f>I27/G51</f>
        <v>1028.80658436214</v>
      </c>
      <c r="J28" s="2" t="s">
        <v>2</v>
      </c>
    </row>
    <row r="29" spans="2:10" ht="15.75" customHeight="1" x14ac:dyDescent="0.2">
      <c r="B29" s="22" t="s">
        <v>74</v>
      </c>
      <c r="C29" s="22" t="s">
        <v>4</v>
      </c>
      <c r="D29" s="12">
        <f>D5-D16</f>
        <v>62.1</v>
      </c>
      <c r="E29" s="64" t="str">
        <f>IF(Units!B4=TRUE,"bar","psi")</f>
        <v>bar</v>
      </c>
      <c r="I29" s="46">
        <f>I21-D16</f>
        <v>67.099999999999994</v>
      </c>
      <c r="J29" s="64" t="str">
        <f>IF(Units!B4=TRUE,"bar","psi")</f>
        <v>bar</v>
      </c>
    </row>
    <row r="30" spans="2:10" ht="15.75" x14ac:dyDescent="0.2">
      <c r="B30" s="22" t="s">
        <v>63</v>
      </c>
      <c r="C30" s="22" t="s">
        <v>75</v>
      </c>
      <c r="D30" s="15">
        <f>D5-D11</f>
        <v>64</v>
      </c>
      <c r="E30" s="64" t="str">
        <f>IF(Units!B4=TRUE,"bar","psi")</f>
        <v>bar</v>
      </c>
      <c r="I30" s="46">
        <f>I21-D11</f>
        <v>69</v>
      </c>
      <c r="J30" s="64" t="str">
        <f>IF(Units!B4=TRUE,"bar","psi")</f>
        <v>bar</v>
      </c>
    </row>
    <row r="31" spans="2:10" ht="15.75" x14ac:dyDescent="0.2">
      <c r="B31" s="22" t="s">
        <v>76</v>
      </c>
      <c r="C31" s="22" t="s">
        <v>77</v>
      </c>
      <c r="D31" s="12">
        <f>J4*D29/Units!E4*D27/J5*10/60000</f>
        <v>24.547472677595636</v>
      </c>
      <c r="E31" s="2" t="s">
        <v>3</v>
      </c>
      <c r="I31" s="46">
        <f>J4*I29/Units!E4*I27/J5*10/60000</f>
        <v>26.523919753086421</v>
      </c>
      <c r="J31" s="2" t="s">
        <v>3</v>
      </c>
    </row>
    <row r="32" spans="2:10" ht="15.75" x14ac:dyDescent="0.2">
      <c r="B32" s="22" t="s">
        <v>78</v>
      </c>
      <c r="C32" s="22" t="s">
        <v>79</v>
      </c>
      <c r="D32" s="12">
        <f>(100-D4)/100*J4</f>
        <v>157.5</v>
      </c>
      <c r="E32" s="2" t="s">
        <v>118</v>
      </c>
      <c r="I32" s="46">
        <f>(100-D4)/100*J4</f>
        <v>157.5</v>
      </c>
      <c r="J32" s="2" t="s">
        <v>118</v>
      </c>
    </row>
    <row r="33" spans="2:10" ht="15.75" x14ac:dyDescent="0.2">
      <c r="B33" s="22" t="s">
        <v>80</v>
      </c>
      <c r="C33" s="22" t="s">
        <v>81</v>
      </c>
      <c r="D33" s="15">
        <f>D32*J5*(D5-D11-D12)/Units!E4*D27/60000/10/100</f>
        <v>16.341975308641977</v>
      </c>
      <c r="E33" s="2" t="s">
        <v>3</v>
      </c>
      <c r="I33" s="46">
        <f>I32*J5*(I21-D11-D12)/Units!E4*I27/60000/10/100</f>
        <v>17.659876543209876</v>
      </c>
      <c r="J33" s="2" t="s">
        <v>3</v>
      </c>
    </row>
    <row r="34" spans="2:10" ht="15.75" x14ac:dyDescent="0.2">
      <c r="B34" s="22" t="s">
        <v>83</v>
      </c>
      <c r="C34" s="22" t="s">
        <v>82</v>
      </c>
      <c r="D34" s="12">
        <f>D31-D33</f>
        <v>8.2054973689536581</v>
      </c>
      <c r="E34" s="2" t="s">
        <v>3</v>
      </c>
      <c r="I34" s="46">
        <f>I31-I33</f>
        <v>8.8640432098765451</v>
      </c>
      <c r="J34" s="2" t="s">
        <v>3</v>
      </c>
    </row>
    <row r="35" spans="2:10" ht="15.75" x14ac:dyDescent="0.2">
      <c r="B35" s="22" t="s">
        <v>84</v>
      </c>
      <c r="C35" s="22" t="s">
        <v>85</v>
      </c>
      <c r="D35" s="15">
        <f>D34/D13/D14*10000</f>
        <v>10.130243665374886</v>
      </c>
      <c r="E35" s="2" t="s">
        <v>3</v>
      </c>
      <c r="I35" s="87">
        <f>I34/D13/D14*10000</f>
        <v>10.94326322206981</v>
      </c>
      <c r="J35" s="2" t="s">
        <v>3</v>
      </c>
    </row>
    <row r="36" spans="2:10" ht="15.75" x14ac:dyDescent="0.2">
      <c r="B36" s="22" t="s">
        <v>34</v>
      </c>
      <c r="C36" s="22" t="s">
        <v>86</v>
      </c>
      <c r="D36" s="15">
        <f>D35/D7*Units!E7</f>
        <v>2.4312584796899723</v>
      </c>
      <c r="E36" s="2" t="s">
        <v>121</v>
      </c>
      <c r="I36" s="46">
        <f>I35/D7*Units!E7</f>
        <v>2.626383173296754</v>
      </c>
      <c r="J36" s="2" t="s">
        <v>121</v>
      </c>
    </row>
    <row r="37" spans="2:10" ht="15.75" x14ac:dyDescent="0.2">
      <c r="B37" s="22" t="s">
        <v>87</v>
      </c>
      <c r="C37" s="22" t="s">
        <v>93</v>
      </c>
      <c r="D37" s="15">
        <f>D36*D15</f>
        <v>0.3890013567503956</v>
      </c>
      <c r="E37" s="2" t="s">
        <v>122</v>
      </c>
      <c r="I37" s="46">
        <f>I36*D15</f>
        <v>0.42022130772748062</v>
      </c>
      <c r="J37" s="2" t="s">
        <v>122</v>
      </c>
    </row>
    <row r="38" spans="2:10" ht="15.75" x14ac:dyDescent="0.2">
      <c r="B38" s="22" t="s">
        <v>91</v>
      </c>
      <c r="C38" s="22" t="s">
        <v>90</v>
      </c>
      <c r="D38" s="15">
        <f>IF(Units!B7=TRUE,D33*D8*365/D14/D13/D7*10000,D33*D8*24/Units!C8*365/D14/D13/D7*Units!C8*10000)</f>
        <v>176735.43667123912</v>
      </c>
      <c r="E38" s="2" t="s">
        <v>97</v>
      </c>
      <c r="I38" s="46">
        <f>IF(Units!B7=TRUE,I33*D8*365/D14/D13/D7*10000,I33*D8*24/Units!C8*365/D14/D13/D7*Units!C8*10000)</f>
        <v>190988.29446730678</v>
      </c>
      <c r="J38" s="2" t="s">
        <v>97</v>
      </c>
    </row>
    <row r="39" spans="2:10" ht="15.75" x14ac:dyDescent="0.2">
      <c r="B39" s="22" t="s">
        <v>35</v>
      </c>
      <c r="C39" s="23" t="s">
        <v>10</v>
      </c>
      <c r="D39" s="15">
        <f>J8/1000*D38</f>
        <v>106.92493918609966</v>
      </c>
      <c r="E39" s="2" t="s">
        <v>37</v>
      </c>
      <c r="I39" s="46">
        <f>J8/1000*I38</f>
        <v>115.5479181527206</v>
      </c>
      <c r="J39" s="2" t="s">
        <v>37</v>
      </c>
    </row>
    <row r="40" spans="2:10" ht="15.75" x14ac:dyDescent="0.2">
      <c r="B40" s="22" t="s">
        <v>36</v>
      </c>
      <c r="C40" s="23" t="s">
        <v>92</v>
      </c>
      <c r="D40" s="15">
        <f>D38*D15</f>
        <v>28277.669867398261</v>
      </c>
      <c r="E40" s="2" t="s">
        <v>11</v>
      </c>
      <c r="G40" s="16"/>
      <c r="I40" s="46">
        <f>I38*D15</f>
        <v>30558.127114769086</v>
      </c>
      <c r="J40" s="2" t="s">
        <v>11</v>
      </c>
    </row>
    <row r="41" spans="2:10" x14ac:dyDescent="0.2">
      <c r="D41" s="12"/>
    </row>
    <row r="42" spans="2:10" x14ac:dyDescent="0.2">
      <c r="D42" s="12"/>
    </row>
    <row r="43" spans="2:10" x14ac:dyDescent="0.2">
      <c r="D43" s="15"/>
      <c r="E43" s="17" t="s">
        <v>95</v>
      </c>
    </row>
    <row r="44" spans="2:10" x14ac:dyDescent="0.2">
      <c r="D44" s="12"/>
    </row>
    <row r="45" spans="2:10" x14ac:dyDescent="0.2">
      <c r="D45" s="12"/>
    </row>
    <row r="46" spans="2:10" x14ac:dyDescent="0.2">
      <c r="D46" s="12"/>
    </row>
    <row r="47" spans="2:10" ht="15" x14ac:dyDescent="0.2">
      <c r="B47" s="48" t="s">
        <v>108</v>
      </c>
      <c r="C47">
        <v>25</v>
      </c>
      <c r="D47" s="12" t="s">
        <v>0</v>
      </c>
      <c r="E47" s="10" t="s">
        <v>24</v>
      </c>
      <c r="H47" s="10" t="s">
        <v>131</v>
      </c>
      <c r="I47">
        <f>8.67/10000*Berechnungen!D28+1.98</f>
        <v>2.8719753086419755</v>
      </c>
      <c r="J47" s="2" t="s">
        <v>120</v>
      </c>
    </row>
    <row r="48" spans="2:10" x14ac:dyDescent="0.2">
      <c r="C48">
        <v>26</v>
      </c>
      <c r="D48" s="12" t="s">
        <v>0</v>
      </c>
      <c r="F48" s="60">
        <f>ROUND(70*Units!E4,1)</f>
        <v>70</v>
      </c>
      <c r="G48" t="str">
        <f>IF(Units!B4=TRUE,"bar","psi")</f>
        <v>bar</v>
      </c>
    </row>
    <row r="49" spans="3:11" x14ac:dyDescent="0.2">
      <c r="C49">
        <v>27</v>
      </c>
      <c r="D49" s="12" t="s">
        <v>0</v>
      </c>
      <c r="F49" s="60">
        <f>ROUND(80*Units!E4,1)</f>
        <v>80</v>
      </c>
      <c r="G49" t="str">
        <f>IF(Units!B4=TRUE,"bar","psi")</f>
        <v>bar</v>
      </c>
      <c r="K49" s="50"/>
    </row>
    <row r="50" spans="3:11" ht="12.75" customHeight="1" x14ac:dyDescent="0.2">
      <c r="C50">
        <v>28</v>
      </c>
      <c r="D50" s="12" t="s">
        <v>0</v>
      </c>
      <c r="F50" s="60">
        <f>ROUND(120*Units!E4,1)</f>
        <v>120</v>
      </c>
      <c r="G50" s="2" t="s">
        <v>120</v>
      </c>
      <c r="H50" s="51"/>
      <c r="I50" s="50"/>
      <c r="J50" s="50"/>
      <c r="K50" s="39"/>
    </row>
    <row r="51" spans="3:11" ht="15" x14ac:dyDescent="0.2">
      <c r="C51">
        <v>29</v>
      </c>
      <c r="D51" s="12" t="s">
        <v>0</v>
      </c>
      <c r="E51" s="10" t="s">
        <v>130</v>
      </c>
      <c r="G51">
        <f>ROUNDUP(D27/1750,0)</f>
        <v>1</v>
      </c>
      <c r="H51" s="4"/>
      <c r="I51" s="4"/>
      <c r="J51" s="4"/>
      <c r="K51" s="33"/>
    </row>
    <row r="52" spans="3:11" x14ac:dyDescent="0.2">
      <c r="C52">
        <v>30</v>
      </c>
      <c r="D52" s="12" t="s">
        <v>0</v>
      </c>
      <c r="H52" s="4"/>
      <c r="I52" s="4"/>
      <c r="J52" s="4"/>
      <c r="K52" s="33"/>
    </row>
    <row r="53" spans="3:11" x14ac:dyDescent="0.2">
      <c r="C53">
        <v>31</v>
      </c>
      <c r="D53" s="12" t="s">
        <v>0</v>
      </c>
      <c r="H53" s="4"/>
      <c r="I53" s="4"/>
      <c r="J53" s="4"/>
    </row>
    <row r="54" spans="3:11" ht="15" x14ac:dyDescent="0.2">
      <c r="C54">
        <v>32</v>
      </c>
      <c r="D54" s="12" t="s">
        <v>0</v>
      </c>
      <c r="E54" s="10" t="s">
        <v>167</v>
      </c>
      <c r="F54">
        <f>IF('Design Tool'!H32="- none -",1,2)</f>
        <v>1</v>
      </c>
    </row>
    <row r="55" spans="3:11" x14ac:dyDescent="0.2">
      <c r="C55">
        <v>33</v>
      </c>
      <c r="D55" s="12" t="s">
        <v>0</v>
      </c>
    </row>
    <row r="56" spans="3:11" x14ac:dyDescent="0.2">
      <c r="C56">
        <v>34</v>
      </c>
      <c r="D56" s="12" t="s">
        <v>0</v>
      </c>
    </row>
    <row r="57" spans="3:11" x14ac:dyDescent="0.2">
      <c r="C57">
        <v>35</v>
      </c>
      <c r="D57" s="12" t="s">
        <v>0</v>
      </c>
    </row>
    <row r="58" spans="3:11" x14ac:dyDescent="0.2">
      <c r="C58">
        <v>36</v>
      </c>
      <c r="D58" s="12" t="s">
        <v>0</v>
      </c>
    </row>
    <row r="59" spans="3:11" x14ac:dyDescent="0.2">
      <c r="C59">
        <v>37</v>
      </c>
      <c r="D59" s="12" t="s">
        <v>0</v>
      </c>
    </row>
    <row r="60" spans="3:11" x14ac:dyDescent="0.2">
      <c r="C60">
        <v>38</v>
      </c>
      <c r="D60" s="12" t="s">
        <v>0</v>
      </c>
    </row>
    <row r="61" spans="3:11" x14ac:dyDescent="0.2">
      <c r="C61">
        <v>39</v>
      </c>
      <c r="D61" s="12" t="s">
        <v>0</v>
      </c>
    </row>
    <row r="62" spans="3:11" x14ac:dyDescent="0.2">
      <c r="C62">
        <v>40</v>
      </c>
      <c r="D62" s="12" t="s">
        <v>0</v>
      </c>
    </row>
    <row r="63" spans="3:11" x14ac:dyDescent="0.2">
      <c r="C63">
        <v>41</v>
      </c>
      <c r="D63" s="12" t="s">
        <v>0</v>
      </c>
    </row>
    <row r="64" spans="3:11" x14ac:dyDescent="0.2">
      <c r="C64">
        <v>42</v>
      </c>
      <c r="D64" s="12" t="s">
        <v>0</v>
      </c>
    </row>
    <row r="65" spans="2:4" x14ac:dyDescent="0.2">
      <c r="C65">
        <v>43</v>
      </c>
      <c r="D65" s="12" t="s">
        <v>0</v>
      </c>
    </row>
    <row r="66" spans="2:4" x14ac:dyDescent="0.2">
      <c r="C66">
        <v>44</v>
      </c>
      <c r="D66" s="12" t="s">
        <v>0</v>
      </c>
    </row>
    <row r="67" spans="2:4" x14ac:dyDescent="0.2">
      <c r="C67">
        <v>45</v>
      </c>
      <c r="D67" s="12" t="s">
        <v>0</v>
      </c>
    </row>
    <row r="68" spans="2:4" x14ac:dyDescent="0.2">
      <c r="C68">
        <v>46</v>
      </c>
      <c r="D68" s="12" t="s">
        <v>0</v>
      </c>
    </row>
    <row r="69" spans="2:4" x14ac:dyDescent="0.2">
      <c r="C69">
        <v>47</v>
      </c>
      <c r="D69" s="12" t="s">
        <v>0</v>
      </c>
    </row>
    <row r="70" spans="2:4" x14ac:dyDescent="0.2">
      <c r="C70">
        <v>48</v>
      </c>
      <c r="D70" s="12" t="s">
        <v>0</v>
      </c>
    </row>
    <row r="71" spans="2:4" x14ac:dyDescent="0.2">
      <c r="C71">
        <v>49</v>
      </c>
      <c r="D71" s="12" t="s">
        <v>0</v>
      </c>
    </row>
    <row r="72" spans="2:4" x14ac:dyDescent="0.2">
      <c r="C72">
        <v>50</v>
      </c>
      <c r="D72" s="12" t="s">
        <v>0</v>
      </c>
    </row>
    <row r="77" spans="2:4" x14ac:dyDescent="0.2">
      <c r="B77" s="2" t="s">
        <v>176</v>
      </c>
      <c r="C77" s="2" t="s">
        <v>179</v>
      </c>
    </row>
    <row r="78" spans="2:4" x14ac:dyDescent="0.2">
      <c r="C78" s="2" t="s">
        <v>178</v>
      </c>
    </row>
    <row r="79" spans="2:4" x14ac:dyDescent="0.2">
      <c r="C79" s="2" t="s">
        <v>266</v>
      </c>
    </row>
    <row r="83" spans="2:3" x14ac:dyDescent="0.2">
      <c r="B83" s="2" t="s">
        <v>261</v>
      </c>
      <c r="C83" s="2" t="s">
        <v>177</v>
      </c>
    </row>
    <row r="84" spans="2:3" x14ac:dyDescent="0.2">
      <c r="C84" s="2" t="s">
        <v>178</v>
      </c>
    </row>
    <row r="85" spans="2:3" x14ac:dyDescent="0.2">
      <c r="C85" s="2" t="s">
        <v>262</v>
      </c>
    </row>
  </sheetData>
  <customSheetViews>
    <customSheetView guid="{CA5DEE9B-8C07-4C66-8968-31FD351A4FB5}" state="hidden" topLeftCell="A66">
      <selection activeCell="C84" sqref="C84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E16"/>
  <sheetViews>
    <sheetView workbookViewId="0">
      <selection activeCell="E4" sqref="E4"/>
    </sheetView>
  </sheetViews>
  <sheetFormatPr baseColWidth="10" defaultRowHeight="12.75" x14ac:dyDescent="0.2"/>
  <cols>
    <col min="3" max="3" width="22" customWidth="1"/>
    <col min="5" max="5" width="12.5703125" customWidth="1"/>
  </cols>
  <sheetData>
    <row r="1" spans="1:5" ht="15" x14ac:dyDescent="0.2">
      <c r="A1" s="10" t="s">
        <v>111</v>
      </c>
    </row>
    <row r="2" spans="1:5" ht="15" x14ac:dyDescent="0.2">
      <c r="A2" s="10"/>
    </row>
    <row r="3" spans="1:5" ht="15" x14ac:dyDescent="0.2">
      <c r="A3" s="10"/>
      <c r="C3" s="55" t="s">
        <v>117</v>
      </c>
    </row>
    <row r="4" spans="1:5" x14ac:dyDescent="0.2">
      <c r="A4" s="2" t="s">
        <v>114</v>
      </c>
      <c r="B4" t="b">
        <v>1</v>
      </c>
      <c r="C4" s="54">
        <v>1</v>
      </c>
      <c r="D4" s="2" t="s">
        <v>120</v>
      </c>
      <c r="E4">
        <f>VLOOKUP(TRUE,B4:C5,2)</f>
        <v>1</v>
      </c>
    </row>
    <row r="5" spans="1:5" x14ac:dyDescent="0.2">
      <c r="A5" s="2"/>
      <c r="B5" t="b">
        <v>0</v>
      </c>
      <c r="C5" s="55">
        <f>1/0.0689475729</f>
        <v>14.503773779685869</v>
      </c>
      <c r="D5" s="2" t="s">
        <v>123</v>
      </c>
    </row>
    <row r="6" spans="1:5" x14ac:dyDescent="0.2">
      <c r="A6" s="2"/>
      <c r="C6" s="54"/>
    </row>
    <row r="7" spans="1:5" x14ac:dyDescent="0.2">
      <c r="A7" s="2" t="s">
        <v>115</v>
      </c>
      <c r="B7" t="b">
        <v>1</v>
      </c>
      <c r="C7" s="54">
        <v>1</v>
      </c>
      <c r="D7" s="2" t="s">
        <v>124</v>
      </c>
      <c r="E7">
        <f>VLOOKUP(TRUE,B7:C8,2)</f>
        <v>1</v>
      </c>
    </row>
    <row r="8" spans="1:5" x14ac:dyDescent="0.2">
      <c r="A8" s="2"/>
      <c r="B8" t="b">
        <v>0</v>
      </c>
      <c r="C8" s="63">
        <v>4.4028679999999998</v>
      </c>
      <c r="D8" s="2" t="s">
        <v>125</v>
      </c>
    </row>
    <row r="9" spans="1:5" x14ac:dyDescent="0.2">
      <c r="A9" s="2"/>
      <c r="C9" s="54"/>
    </row>
    <row r="10" spans="1:5" x14ac:dyDescent="0.2">
      <c r="A10" s="2" t="s">
        <v>116</v>
      </c>
      <c r="B10" t="b">
        <v>1</v>
      </c>
      <c r="C10" s="54"/>
    </row>
    <row r="11" spans="1:5" x14ac:dyDescent="0.2">
      <c r="B11" t="b">
        <v>0</v>
      </c>
      <c r="C11" s="54"/>
    </row>
    <row r="12" spans="1:5" x14ac:dyDescent="0.2">
      <c r="C12" s="54"/>
    </row>
    <row r="13" spans="1:5" x14ac:dyDescent="0.2">
      <c r="C13" s="54"/>
    </row>
    <row r="14" spans="1:5" x14ac:dyDescent="0.2">
      <c r="C14" s="54"/>
    </row>
    <row r="15" spans="1:5" x14ac:dyDescent="0.2">
      <c r="C15" s="54"/>
    </row>
    <row r="16" spans="1:5" x14ac:dyDescent="0.2">
      <c r="C16" s="54"/>
    </row>
  </sheetData>
  <customSheetViews>
    <customSheetView guid="{CA5DEE9B-8C07-4C66-8968-31FD351A4FB5}" state="hidden">
      <selection activeCell="B7" sqref="B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46"/>
  <sheetViews>
    <sheetView showGridLines="0" zoomScaleNormal="100" zoomScalePageLayoutView="90" workbookViewId="0">
      <selection activeCell="E14" sqref="E14"/>
    </sheetView>
  </sheetViews>
  <sheetFormatPr baseColWidth="10" defaultColWidth="0" defaultRowHeight="12.75" zeroHeight="1" x14ac:dyDescent="0.2"/>
  <cols>
    <col min="1" max="1" width="11.42578125" customWidth="1"/>
    <col min="2" max="2" width="6.85546875" customWidth="1"/>
    <col min="3" max="3" width="54" customWidth="1"/>
    <col min="4" max="4" width="10.28515625" customWidth="1"/>
    <col min="5" max="5" width="5" customWidth="1"/>
    <col min="6" max="6" width="4.5703125" customWidth="1"/>
    <col min="7" max="7" width="10.28515625" customWidth="1"/>
    <col min="8" max="16384" width="11.42578125" hidden="1"/>
  </cols>
  <sheetData>
    <row r="1" spans="1:7" x14ac:dyDescent="0.2"/>
    <row r="2" spans="1:7" x14ac:dyDescent="0.2"/>
    <row r="3" spans="1:7" x14ac:dyDescent="0.2"/>
    <row r="4" spans="1:7" ht="49.5" customHeight="1" x14ac:dyDescent="0.3">
      <c r="B4" s="220" t="s">
        <v>443</v>
      </c>
      <c r="C4" s="220"/>
    </row>
    <row r="5" spans="1:7" ht="18.75" customHeight="1" thickBot="1" x14ac:dyDescent="0.3">
      <c r="B5" s="95"/>
      <c r="C5" s="2"/>
    </row>
    <row r="6" spans="1:7" x14ac:dyDescent="0.2">
      <c r="A6" s="133"/>
      <c r="B6" s="216" t="s">
        <v>168</v>
      </c>
      <c r="C6" s="216" t="s">
        <v>169</v>
      </c>
      <c r="D6" s="134" t="s">
        <v>170</v>
      </c>
      <c r="E6" s="218" t="s">
        <v>171</v>
      </c>
      <c r="F6" s="134" t="s">
        <v>172</v>
      </c>
      <c r="G6" s="134"/>
    </row>
    <row r="7" spans="1:7" ht="13.5" thickBot="1" x14ac:dyDescent="0.25">
      <c r="A7" s="135"/>
      <c r="B7" s="217"/>
      <c r="C7" s="217"/>
      <c r="D7" s="136"/>
      <c r="E7" s="219"/>
      <c r="F7" s="136"/>
      <c r="G7" s="136"/>
    </row>
    <row r="8" spans="1:7" x14ac:dyDescent="0.2">
      <c r="A8" s="137"/>
      <c r="B8" s="138"/>
      <c r="C8" s="139"/>
      <c r="D8" s="140"/>
      <c r="E8" s="139"/>
      <c r="F8" s="215"/>
      <c r="G8" s="215"/>
    </row>
    <row r="9" spans="1:7" ht="12.75" customHeight="1" x14ac:dyDescent="0.2">
      <c r="A9" s="137"/>
      <c r="B9" s="141" t="s">
        <v>260</v>
      </c>
      <c r="C9" s="142" t="str">
        <f>IF(Berechnungen!F54=1,IF(AND('Design Tool'!P28&lt;=1000,'Design Tool'!P21=Berechnungen!C77),VLOOKUP('Design Tool'!H5,Identnumbers!B5:G30,3,FALSE),IF(AND('Design Tool'!P28&gt;1000,'Design Tool'!P28&lt;=1450,'Design Tool'!P21=Berechnungen!C77),VLOOKUP('Design Tool'!H5,Identnumbers!B5:G30,4,FALSE),IF(AND('Design Tool'!P28&gt;1450,'Design Tool'!P21=Berechnungen!C77),VLOOKUP('Design Tool'!H5,Identnumbers!B5:G30,5,FALSE),IF('Design Tool'!P21=Berechnungen!C78,VLOOKUP('Design Tool'!H5,Identnumbers!B5:G30,6,FALSE),IF('Design Tool'!P21=Berechnungen!C79,VLOOKUP('Design Tool'!H5,Identnumbers!B5:G30,2,FALSE)))))),"XXXX")</f>
        <v>01602765</v>
      </c>
      <c r="D9" s="143"/>
      <c r="E9" s="144">
        <f>'Design Tool'!P27</f>
        <v>1</v>
      </c>
      <c r="F9" s="145" t="s">
        <v>174</v>
      </c>
      <c r="G9" s="146"/>
    </row>
    <row r="10" spans="1:7" ht="12.75" customHeight="1" x14ac:dyDescent="0.2">
      <c r="A10" s="137"/>
      <c r="B10" s="144"/>
      <c r="C10" s="144" t="str">
        <f>IF('Design Tool'!P21=Berechnungen!C79,"SALINO bare shaft pump","SALINO Pressure Center")</f>
        <v>SALINO Pressure Center</v>
      </c>
      <c r="D10" s="144"/>
      <c r="E10" s="144"/>
      <c r="F10" s="145"/>
      <c r="G10" s="144"/>
    </row>
    <row r="11" spans="1:7" ht="12.75" customHeight="1" x14ac:dyDescent="0.2">
      <c r="A11" s="137"/>
      <c r="B11" s="144"/>
      <c r="C11" s="147" t="s">
        <v>173</v>
      </c>
      <c r="D11" s="148"/>
      <c r="E11" s="144"/>
      <c r="F11" s="145"/>
      <c r="G11" s="144"/>
    </row>
    <row r="12" spans="1:7" ht="12.75" customHeight="1" x14ac:dyDescent="0.2">
      <c r="A12" s="137"/>
      <c r="B12" s="144"/>
      <c r="C12" s="147" t="str">
        <f>"Recovery Rate "&amp;TEXT('Design Tool'!H5,"0")&amp;" %"</f>
        <v>Recovery Rate 30 %</v>
      </c>
      <c r="D12" s="149"/>
      <c r="E12" s="144"/>
      <c r="F12" s="145"/>
      <c r="G12" s="144"/>
    </row>
    <row r="13" spans="1:7" ht="12.75" customHeight="1" x14ac:dyDescent="0.2">
      <c r="A13" s="137"/>
      <c r="B13" s="144"/>
      <c r="C13" s="149"/>
      <c r="D13" s="149"/>
      <c r="E13" s="144"/>
      <c r="F13" s="145"/>
      <c r="G13" s="144"/>
    </row>
    <row r="14" spans="1:7" ht="12.75" customHeight="1" x14ac:dyDescent="0.2">
      <c r="A14" s="137"/>
      <c r="B14" s="150" t="str">
        <f>IF('Design Tool'!P21=Berechnungen!C79,"","00110")</f>
        <v>00110</v>
      </c>
      <c r="C14" s="151" t="str">
        <f>IF('Design Tool'!P21=Berechnungen!C79,"",VLOOKUP(C9,Identnumbers!C35:Z164,2,FALSE))</f>
        <v>MAT.-NR. 30 kW Motor</v>
      </c>
      <c r="D14" s="147"/>
      <c r="E14" s="147">
        <f>IF('Design Tool'!P21=Berechnungen!C79,"",'Design Tool'!P27)</f>
        <v>1</v>
      </c>
      <c r="F14" s="152" t="str">
        <f>IF('Design Tool'!P21=Berechnungen!C79,"","PC")</f>
        <v>PC</v>
      </c>
      <c r="G14" s="144"/>
    </row>
    <row r="15" spans="1:7" ht="12.75" customHeight="1" x14ac:dyDescent="0.2">
      <c r="A15" s="137"/>
      <c r="B15" s="153"/>
      <c r="C15" s="147" t="str">
        <f>IF('Design Tool'!P21=Berechnungen!C79,"",IF('Design Tool'!P21=Berechnungen!C78,"",VLOOKUP('Quotation data'!C9,Identnumbers!C35:Z164,3,FALSE)))</f>
        <v>Squirrel-Cage-Motor</v>
      </c>
      <c r="D15" s="147"/>
      <c r="E15" s="144"/>
      <c r="F15" s="145"/>
      <c r="G15" s="144"/>
    </row>
    <row r="16" spans="1:7" ht="12.75" customHeight="1" x14ac:dyDescent="0.2">
      <c r="A16" s="137"/>
      <c r="B16" s="153"/>
      <c r="C16" s="147" t="str">
        <f>IF('Design Tool'!P21=Berechnungen!C79,"",IF('Design Tool'!P21=Berechnungen!C78,"",VLOOKUP('Quotation data'!C9,Identnumbers!C35:Z164,4,FALSE)))</f>
        <v>Premium Efficiency IE3; self ventilated; Isulation 155(F) to 130(B)</v>
      </c>
      <c r="D16" s="147"/>
      <c r="E16" s="144"/>
      <c r="F16" s="145"/>
      <c r="G16" s="144"/>
    </row>
    <row r="17" spans="1:7" ht="12.75" customHeight="1" x14ac:dyDescent="0.2">
      <c r="A17" s="137"/>
      <c r="B17" s="153"/>
      <c r="C17" s="147" t="str">
        <f>IF('Design Tool'!P21=Berechnungen!C79,"",IF('Design Tool'!P21=Berechnungen!C78,"",VLOOKUP('Quotation data'!C9,Identnumbers!C35:Z164,5,FALSE)))</f>
        <v>IP55 * 4pole * BG200L * IMB35 * 30kW (50 Hz) * 34,5kW (60Hz)</v>
      </c>
      <c r="D17" s="147"/>
      <c r="E17" s="144"/>
      <c r="F17" s="145"/>
      <c r="G17" s="144"/>
    </row>
    <row r="18" spans="1:7" ht="12.75" customHeight="1" x14ac:dyDescent="0.2">
      <c r="A18" s="137"/>
      <c r="B18" s="153"/>
      <c r="C18" s="147" t="str">
        <f>IF('Design Tool'!P21=Berechnungen!C79,"",IF('Design Tool'!P21=Berechnungen!C78,"",VLOOKUP('Quotation data'!C9,Identnumbers!C35:Z164,6,FALSE)))</f>
        <v>3 AC 50Hz 400VD/690VY * 3 AC 60Hz 460VD</v>
      </c>
      <c r="D18" s="147"/>
      <c r="E18" s="144"/>
      <c r="F18" s="145"/>
      <c r="G18" s="144"/>
    </row>
    <row r="19" spans="1:7" ht="12.75" customHeight="1" x14ac:dyDescent="0.2">
      <c r="A19" s="137"/>
      <c r="B19" s="153"/>
      <c r="C19" s="147" t="str">
        <f>IF('Design Tool'!P21=Berechnungen!C79,"",IF('Design Tool'!P21=Berechnungen!C78,"",VLOOKUP('Quotation data'!C9,Identnumbers!C35:Z164,7,FALSE)))</f>
        <v>Frame material: grey cast iron</v>
      </c>
      <c r="D19" s="147"/>
      <c r="E19" s="152"/>
      <c r="F19" s="145"/>
      <c r="G19" s="144"/>
    </row>
    <row r="20" spans="1:7" ht="12.75" customHeight="1" x14ac:dyDescent="0.2">
      <c r="A20" s="137"/>
      <c r="B20" s="153"/>
      <c r="C20" s="147" t="str">
        <f>IF('Design Tool'!P21=Berechnungen!C79,"",IF('Design Tool'!P21=Berechnungen!C78,"",VLOOKUP('Quotation data'!C9,Identnumbers!C35:Z164,8,FALSE)))</f>
        <v>paint finish resistant to salt-laden air</v>
      </c>
      <c r="D20" s="147"/>
      <c r="E20" s="152"/>
      <c r="F20" s="145"/>
      <c r="G20" s="144"/>
    </row>
    <row r="21" spans="1:7" x14ac:dyDescent="0.2">
      <c r="A21" s="137"/>
      <c r="B21" s="154"/>
      <c r="C21" s="147" t="str">
        <f>IF('Design Tool'!P21=Berechnungen!C79,"",IF('Design Tool'!P21=Berechnungen!C78,"",VLOOKUP('Quotation data'!C9,Identnumbers!C35:Z164,9,FALSE)))</f>
        <v>motor protection 3 PTC thermistors</v>
      </c>
      <c r="D21" s="137"/>
      <c r="E21" s="152"/>
      <c r="F21" s="137"/>
      <c r="G21" s="137"/>
    </row>
    <row r="22" spans="1:7" x14ac:dyDescent="0.2">
      <c r="A22" s="137"/>
      <c r="B22" s="154"/>
      <c r="C22" s="137"/>
      <c r="D22" s="137"/>
      <c r="E22" s="152"/>
      <c r="F22" s="152"/>
      <c r="G22" s="137"/>
    </row>
    <row r="23" spans="1:7" x14ac:dyDescent="0.2">
      <c r="A23" s="137"/>
      <c r="B23" s="155" t="str">
        <f>IF('Design Tool'!P21=Berechnungen!C79,"","00120")</f>
        <v>00120</v>
      </c>
      <c r="C23" s="151" t="str">
        <f>IF('Design Tool'!P21=Berechnungen!C79,"",VLOOKUP(C9,Identnumbers!C35:Z164,10,FALSE))</f>
        <v>01554711</v>
      </c>
      <c r="D23" s="137"/>
      <c r="E23" s="152">
        <f>IF('Design Tool'!P21=Berechnungen!C79,"",'Design Tool'!P27)</f>
        <v>1</v>
      </c>
      <c r="F23" s="152" t="str">
        <f>IF('Design Tool'!P21=Berechnungen!C79,"","PC")</f>
        <v>PC</v>
      </c>
      <c r="G23" s="137"/>
    </row>
    <row r="24" spans="1:7" x14ac:dyDescent="0.2">
      <c r="A24" s="137"/>
      <c r="B24" s="156"/>
      <c r="C24" s="147" t="str">
        <f>IF('Design Tool'!P21=Berechnungen!C79,"",IF('Design Tool'!P21=Berechnungen!C78,"",VLOOKUP('Quotation data'!C9,Identnumbers!C35:Z164,11,FALSE)))</f>
        <v>Bellhousing PG400</v>
      </c>
      <c r="D24" s="137"/>
      <c r="E24" s="152"/>
      <c r="F24" s="152"/>
      <c r="G24" s="137"/>
    </row>
    <row r="25" spans="1:7" x14ac:dyDescent="0.2">
      <c r="A25" s="137"/>
      <c r="B25" s="156"/>
      <c r="C25" s="137"/>
      <c r="D25" s="137"/>
      <c r="E25" s="152"/>
      <c r="F25" s="152"/>
      <c r="G25" s="137"/>
    </row>
    <row r="26" spans="1:7" x14ac:dyDescent="0.2">
      <c r="A26" s="137"/>
      <c r="B26" s="155" t="str">
        <f>IF('Design Tool'!P21=Berechnungen!C79,"","00130")</f>
        <v>00130</v>
      </c>
      <c r="C26" s="151" t="str">
        <f>IF('Design Tool'!P21=Berechnungen!C79,"",VLOOKUP(C9,Identnumbers!C35:Z164,12,FALSE))</f>
        <v>01554712</v>
      </c>
      <c r="D26" s="137"/>
      <c r="E26" s="152">
        <f>IF('Design Tool'!P21=Berechnungen!C79,"",'Design Tool'!P27)</f>
        <v>1</v>
      </c>
      <c r="F26" s="152" t="str">
        <f>IF('Design Tool'!P21=Berechnungen!C79,"","PC")</f>
        <v>PC</v>
      </c>
      <c r="G26" s="137"/>
    </row>
    <row r="27" spans="1:7" x14ac:dyDescent="0.2">
      <c r="A27" s="137"/>
      <c r="B27" s="156"/>
      <c r="C27" s="147" t="str">
        <f>IF('Design Tool'!P21=Berechnungen!C79,"",IF('Design Tool'!P21=Berechnungen!C78,"",VLOOKUP('Quotation data'!C9,Identnumbers!C35:Z164,13,FALSE)))</f>
        <v>Flexible Coupling BoWex M-65</v>
      </c>
      <c r="D27" s="137"/>
      <c r="E27" s="152"/>
      <c r="F27" s="152"/>
      <c r="G27" s="137"/>
    </row>
    <row r="28" spans="1:7" x14ac:dyDescent="0.2">
      <c r="A28" s="137"/>
      <c r="B28" s="156"/>
      <c r="C28" s="137"/>
      <c r="D28" s="137"/>
      <c r="E28" s="152"/>
      <c r="F28" s="152"/>
      <c r="G28" s="137"/>
    </row>
    <row r="29" spans="1:7" x14ac:dyDescent="0.2">
      <c r="A29" s="137"/>
      <c r="B29" s="155" t="str">
        <f>IF('Design Tool'!P21=Berechnungen!C79,"","00140")</f>
        <v>00140</v>
      </c>
      <c r="C29" s="151" t="str">
        <f>IF('Design Tool'!P21=Berechnungen!C79,"",VLOOKUP(C9,Identnumbers!C35:Z164,14,FALSE))</f>
        <v>01553736</v>
      </c>
      <c r="D29" s="137"/>
      <c r="E29" s="152">
        <f>IF('Design Tool'!P21=Berechnungen!C79,"",'Design Tool'!P27)</f>
        <v>1</v>
      </c>
      <c r="F29" s="152" t="str">
        <f>IF('Design Tool'!P21=Berechnungen!C79,"","PC")</f>
        <v>PC</v>
      </c>
      <c r="G29" s="137"/>
    </row>
    <row r="30" spans="1:7" x14ac:dyDescent="0.2">
      <c r="A30" s="137"/>
      <c r="B30" s="156"/>
      <c r="C30" s="147" t="str">
        <f>IF('Design Tool'!P21=Berechnungen!C79,"",IF('Design Tool'!P21=Berechnungen!C78,"",VLOOKUP('Quotation data'!C9,Identnumbers!C35:Z164,15,FALSE)))</f>
        <v>Mountingframe 270x600x1560</v>
      </c>
      <c r="D30" s="137"/>
      <c r="E30" s="152"/>
      <c r="F30" s="152"/>
      <c r="G30" s="137"/>
    </row>
    <row r="31" spans="1:7" x14ac:dyDescent="0.2">
      <c r="A31" s="137"/>
      <c r="B31" s="156"/>
      <c r="C31" s="137"/>
      <c r="D31" s="137"/>
      <c r="E31" s="137"/>
      <c r="F31" s="152"/>
      <c r="G31" s="137"/>
    </row>
    <row r="32" spans="1:7" x14ac:dyDescent="0.2">
      <c r="A32" s="137"/>
      <c r="B32" s="157" t="str">
        <f>IF(OR('Design Tool'!P23=Berechnungen!C85,'Design Tool'!P21=Berechnungen!C79),"","00200")</f>
        <v>00200</v>
      </c>
      <c r="C32" s="142" t="str">
        <f>IF(OR('Design Tool'!P23=Berechnungen!C85,'Design Tool'!P21=Berechnungen!C79),"",IF('Design Tool'!P23=Berechnungen!C84,Identnumbers!D165,VLOOKUP(C9,Identnumbers!C35:Z164,16,FALSE)))</f>
        <v>MAT.-NR. Pumpdrive R 30 kW</v>
      </c>
      <c r="D32" s="137"/>
      <c r="E32" s="145">
        <f>IF(OR('Design Tool'!P23=Berechnungen!C85,'Design Tool'!P21=Berechnungen!C79),"",'Design Tool'!P27)</f>
        <v>1</v>
      </c>
      <c r="F32" s="145" t="str">
        <f>IF(OR('Design Tool'!P23=Berechnungen!CV85,'Design Tool'!P21=Berechnungen!C79),"","PC")</f>
        <v>PC</v>
      </c>
      <c r="G32" s="137"/>
    </row>
    <row r="33" spans="1:7" x14ac:dyDescent="0.2">
      <c r="A33" s="137"/>
      <c r="B33" s="141"/>
      <c r="C33" s="147" t="str">
        <f>IF(OR('Design Tool'!P23=Berechnungen!C85,'Design Tool'!P23=Berechnungen!C84,'Design Tool'!P21=Berechnungen!C78,'Design Tool'!P21=Berechnungen!C79),"",VLOOKUP(C9,Identnumbers!C35:Z164,17,FALSE))</f>
        <v>Frequency Converter PumpDrive R (KSB202)</v>
      </c>
      <c r="D33" s="137"/>
      <c r="E33" s="137"/>
      <c r="F33" s="152"/>
      <c r="G33" s="137"/>
    </row>
    <row r="34" spans="1:7" x14ac:dyDescent="0.2">
      <c r="A34" s="137"/>
      <c r="B34" s="141"/>
      <c r="C34" s="147" t="str">
        <f>IF(OR('Design Tool'!P23=Berechnungen!C85,'Design Tool'!P23=Berechnungen!C84,'Design Tool'!P21=Berechnungen!C78,'Design Tool'!P21=Berechnungen!C79),"",VLOOKUP(C9,Identnumbers!C35:Z164,18,FALSE))</f>
        <v>3AC 380-480 V ±10 % * 50/60 Hz</v>
      </c>
      <c r="D34" s="137"/>
      <c r="E34" s="137"/>
      <c r="F34" s="152"/>
      <c r="G34" s="137"/>
    </row>
    <row r="35" spans="1:7" x14ac:dyDescent="0.2">
      <c r="A35" s="137"/>
      <c r="B35" s="141"/>
      <c r="C35" s="147" t="str">
        <f>IF(OR('Design Tool'!P23=Berechnungen!C85,'Design Tool'!P23=Berechnungen!C84,'Design Tool'!P21=Berechnungen!C78,'Design Tool'!P21=Berechnungen!C79),"",VLOOKUP(C9,Identnumbers!C35:Z164,19,FALSE))</f>
        <v>IP20 * 30 kW * I at 400V=61,0A</v>
      </c>
      <c r="D35" s="137"/>
      <c r="E35" s="137"/>
      <c r="F35" s="152"/>
      <c r="G35" s="137"/>
    </row>
    <row r="36" spans="1:7" x14ac:dyDescent="0.2">
      <c r="A36" s="137"/>
      <c r="B36" s="141"/>
      <c r="C36" s="147" t="str">
        <f>IF(OR('Design Tool'!P23=Berechnungen!C85,'Design Tool'!P23=Berechnungen!C84,'Design Tool'!P21=Berechnungen!C78,'Design Tool'!P21=Berechnungen!C79),"",VLOOKUP(C9,Identnumbers!C35:Z164,20,FALSE))</f>
        <v>Maximum ambient temperature +50°C</v>
      </c>
      <c r="D36" s="137"/>
      <c r="E36" s="137"/>
      <c r="F36" s="152"/>
      <c r="G36" s="137"/>
    </row>
    <row r="37" spans="1:7" x14ac:dyDescent="0.2">
      <c r="A37" s="137"/>
      <c r="B37" s="141"/>
      <c r="C37" s="147" t="str">
        <f>IF(OR('Design Tool'!P23=Berechnungen!C85,'Design Tool'!P23=Berechnungen!C84,'Design Tool'!P21=Berechnungen!C78,'Design Tool'!P21=Berechnungen!C79),"",VLOOKUP(C9,Identnumbers!C35:Z164,21,FALSE))</f>
        <v>Dimensions [mm] H=650 x B=242 x T=260</v>
      </c>
      <c r="D37" s="137"/>
      <c r="E37" s="137"/>
      <c r="F37" s="137"/>
      <c r="G37" s="137"/>
    </row>
    <row r="38" spans="1:7" x14ac:dyDescent="0.2">
      <c r="A38" s="137"/>
      <c r="B38" s="141"/>
      <c r="C38" s="137"/>
      <c r="E38" s="137"/>
      <c r="F38" s="137"/>
      <c r="G38" s="137"/>
    </row>
    <row r="39" spans="1:7" x14ac:dyDescent="0.2">
      <c r="A39" s="137"/>
      <c r="B39" s="141"/>
      <c r="C39" s="137"/>
      <c r="D39" s="137"/>
      <c r="E39" s="137"/>
      <c r="F39" s="137"/>
      <c r="G39" s="137"/>
    </row>
    <row r="40" spans="1:7" ht="11.1" customHeight="1" x14ac:dyDescent="0.2">
      <c r="A40" s="137"/>
      <c r="B40" s="141"/>
      <c r="C40" s="137"/>
      <c r="D40" s="137"/>
      <c r="E40" s="137"/>
      <c r="F40" s="137"/>
      <c r="G40" s="137"/>
    </row>
    <row r="41" spans="1:7" ht="23.1" hidden="1" customHeight="1" x14ac:dyDescent="0.2">
      <c r="A41" s="137"/>
      <c r="B41" s="141"/>
      <c r="C41" s="176" t="s">
        <v>441</v>
      </c>
      <c r="E41" s="137"/>
      <c r="F41" s="137"/>
      <c r="G41" s="137"/>
    </row>
    <row r="42" spans="1:7" hidden="1" x14ac:dyDescent="0.2">
      <c r="B42" s="99"/>
    </row>
    <row r="43" spans="1:7" hidden="1" x14ac:dyDescent="0.2">
      <c r="B43" s="99"/>
    </row>
    <row r="44" spans="1:7" hidden="1" x14ac:dyDescent="0.2">
      <c r="B44" s="99"/>
    </row>
    <row r="45" spans="1:7" hidden="1" x14ac:dyDescent="0.2">
      <c r="B45" s="99"/>
    </row>
    <row r="46" spans="1:7" hidden="1" x14ac:dyDescent="0.2">
      <c r="B46" s="99"/>
    </row>
  </sheetData>
  <sheetProtection algorithmName="SHA-512" hashValue="cmyphaWZ4m3ufAinFUyhqQAYDNrnp6kfC8w63PIkX3dho4KJ61ioDf1J3/ptfAWcNGIhdTSsT48mSubEMRhpcQ==" saltValue="yXIvdnTfGHsGKtggLiXQhA==" spinCount="100000" sheet="1" objects="1" scenarios="1"/>
  <customSheetViews>
    <customSheetView guid="{CA5DEE9B-8C07-4C66-8968-31FD351A4FB5}" scale="90" showPageBreaks="1" showGridLines="0" hiddenRows="1" hiddenColumns="1" view="pageLayout" topLeftCell="A2">
      <selection activeCell="C9" sqref="C9"/>
      <pageMargins left="0" right="1.0416666666666666E-2" top="0.78740157499999996" bottom="0.78740157499999996" header="0" footer="0.3"/>
      <pageSetup paperSize="9" orientation="portrait" r:id="rId1"/>
      <headerFooter>
        <oddHeader>&amp;C&amp;G</oddHeader>
        <oddFooter>&amp;C&amp;G</oddFooter>
      </headerFooter>
    </customSheetView>
  </customSheetViews>
  <mergeCells count="5">
    <mergeCell ref="F8:G8"/>
    <mergeCell ref="B6:B7"/>
    <mergeCell ref="C6:C7"/>
    <mergeCell ref="E6:E7"/>
    <mergeCell ref="B4:C4"/>
  </mergeCells>
  <pageMargins left="0" right="1.0416666666666666E-2" top="0.78740157499999996" bottom="0.78740157499999996" header="0" footer="0.3"/>
  <pageSetup paperSize="9" scale="99" orientation="portrait" r:id="rId2"/>
  <headerFooter>
    <oddHeader xml:space="preserve">&amp;C
</oddHeader>
    <oddFooter>&amp;C&amp;G</oddFooter>
  </headerFooter>
  <ignoredErrors>
    <ignoredError sqref="B9" numberStoredAsText="1"/>
  </ignoredErrors>
  <drawing r:id="rId3"/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B4:Z165"/>
  <sheetViews>
    <sheetView topLeftCell="A84" zoomScale="80" zoomScaleNormal="80" workbookViewId="0">
      <selection activeCell="O117" sqref="O117"/>
    </sheetView>
  </sheetViews>
  <sheetFormatPr baseColWidth="10" defaultRowHeight="12.75" x14ac:dyDescent="0.2"/>
  <cols>
    <col min="2" max="2" width="17.42578125" bestFit="1" customWidth="1"/>
    <col min="3" max="3" width="22" customWidth="1"/>
    <col min="4" max="4" width="52.42578125" customWidth="1"/>
    <col min="5" max="5" width="17.5703125" bestFit="1" customWidth="1"/>
    <col min="6" max="6" width="56.140625" customWidth="1"/>
    <col min="7" max="8" width="64" customWidth="1"/>
    <col min="9" max="10" width="53.5703125" customWidth="1"/>
    <col min="11" max="17" width="42.5703125" customWidth="1"/>
    <col min="18" max="23" width="52.7109375" customWidth="1"/>
  </cols>
  <sheetData>
    <row r="4" spans="2:8" s="24" customFormat="1" ht="20.100000000000001" customHeight="1" x14ac:dyDescent="0.2">
      <c r="B4" s="110" t="s">
        <v>6</v>
      </c>
      <c r="C4" s="110" t="s">
        <v>266</v>
      </c>
      <c r="D4" s="110" t="s">
        <v>381</v>
      </c>
      <c r="E4" s="110" t="s">
        <v>380</v>
      </c>
      <c r="F4" s="110" t="s">
        <v>382</v>
      </c>
      <c r="G4" s="110" t="s">
        <v>178</v>
      </c>
      <c r="H4" s="110"/>
    </row>
    <row r="5" spans="2:8" x14ac:dyDescent="0.2">
      <c r="B5" s="54">
        <v>25</v>
      </c>
      <c r="C5" s="96" t="s">
        <v>183</v>
      </c>
      <c r="D5" s="131" t="s">
        <v>383</v>
      </c>
      <c r="E5" s="125" t="s">
        <v>209</v>
      </c>
      <c r="F5" s="158" t="s">
        <v>409</v>
      </c>
      <c r="G5" s="132" t="s">
        <v>234</v>
      </c>
      <c r="H5" s="98"/>
    </row>
    <row r="6" spans="2:8" x14ac:dyDescent="0.2">
      <c r="B6" s="54">
        <v>26</v>
      </c>
      <c r="C6" s="96" t="s">
        <v>184</v>
      </c>
      <c r="D6" s="158" t="s">
        <v>384</v>
      </c>
      <c r="E6" s="125" t="s">
        <v>210</v>
      </c>
      <c r="F6" s="158" t="s">
        <v>410</v>
      </c>
      <c r="G6" s="132" t="s">
        <v>235</v>
      </c>
      <c r="H6" s="98"/>
    </row>
    <row r="7" spans="2:8" x14ac:dyDescent="0.2">
      <c r="B7" s="54">
        <v>27</v>
      </c>
      <c r="C7" s="96" t="s">
        <v>185</v>
      </c>
      <c r="D7" s="158" t="s">
        <v>385</v>
      </c>
      <c r="E7" s="125" t="s">
        <v>211</v>
      </c>
      <c r="F7" s="158" t="s">
        <v>411</v>
      </c>
      <c r="G7" s="132" t="s">
        <v>236</v>
      </c>
      <c r="H7" s="98"/>
    </row>
    <row r="8" spans="2:8" x14ac:dyDescent="0.2">
      <c r="B8" s="54">
        <v>28</v>
      </c>
      <c r="C8" s="96" t="s">
        <v>186</v>
      </c>
      <c r="D8" s="131" t="s">
        <v>386</v>
      </c>
      <c r="E8" s="125" t="s">
        <v>212</v>
      </c>
      <c r="F8" s="158" t="s">
        <v>412</v>
      </c>
      <c r="G8" s="132" t="s">
        <v>237</v>
      </c>
      <c r="H8" s="98"/>
    </row>
    <row r="9" spans="2:8" x14ac:dyDescent="0.2">
      <c r="B9" s="54">
        <v>29</v>
      </c>
      <c r="C9" s="96" t="s">
        <v>187</v>
      </c>
      <c r="D9" s="158" t="s">
        <v>387</v>
      </c>
      <c r="E9" s="125" t="s">
        <v>213</v>
      </c>
      <c r="F9" s="158" t="s">
        <v>413</v>
      </c>
      <c r="G9" s="132" t="s">
        <v>238</v>
      </c>
      <c r="H9" s="98"/>
    </row>
    <row r="10" spans="2:8" x14ac:dyDescent="0.2">
      <c r="B10" s="54">
        <v>30</v>
      </c>
      <c r="C10" s="96" t="s">
        <v>188</v>
      </c>
      <c r="D10" s="158" t="s">
        <v>388</v>
      </c>
      <c r="E10" s="125" t="s">
        <v>214</v>
      </c>
      <c r="F10" s="158" t="s">
        <v>414</v>
      </c>
      <c r="G10" s="132" t="s">
        <v>239</v>
      </c>
      <c r="H10" s="98"/>
    </row>
    <row r="11" spans="2:8" x14ac:dyDescent="0.2">
      <c r="B11" s="54">
        <v>31</v>
      </c>
      <c r="C11" s="124" t="s">
        <v>189</v>
      </c>
      <c r="D11" s="158" t="s">
        <v>389</v>
      </c>
      <c r="E11" s="125" t="s">
        <v>215</v>
      </c>
      <c r="F11" s="158" t="s">
        <v>415</v>
      </c>
      <c r="G11" s="132" t="s">
        <v>240</v>
      </c>
      <c r="H11" s="98"/>
    </row>
    <row r="12" spans="2:8" x14ac:dyDescent="0.2">
      <c r="B12" s="54">
        <v>32</v>
      </c>
      <c r="C12" s="96" t="s">
        <v>190</v>
      </c>
      <c r="D12" s="158" t="s">
        <v>390</v>
      </c>
      <c r="E12" s="125" t="s">
        <v>216</v>
      </c>
      <c r="F12" s="158" t="s">
        <v>416</v>
      </c>
      <c r="G12" s="132" t="s">
        <v>241</v>
      </c>
      <c r="H12" s="98"/>
    </row>
    <row r="13" spans="2:8" x14ac:dyDescent="0.2">
      <c r="B13" s="54">
        <v>33</v>
      </c>
      <c r="C13" s="96" t="s">
        <v>191</v>
      </c>
      <c r="D13" s="131" t="s">
        <v>391</v>
      </c>
      <c r="E13" s="125" t="s">
        <v>217</v>
      </c>
      <c r="F13" s="158" t="s">
        <v>417</v>
      </c>
      <c r="G13" s="132" t="s">
        <v>242</v>
      </c>
      <c r="H13" s="98"/>
    </row>
    <row r="14" spans="2:8" x14ac:dyDescent="0.2">
      <c r="B14" s="54">
        <v>34</v>
      </c>
      <c r="C14" s="96" t="s">
        <v>192</v>
      </c>
      <c r="D14" s="158" t="s">
        <v>392</v>
      </c>
      <c r="E14" s="125" t="s">
        <v>218</v>
      </c>
      <c r="F14" s="158" t="s">
        <v>418</v>
      </c>
      <c r="G14" s="132" t="s">
        <v>243</v>
      </c>
      <c r="H14" s="98"/>
    </row>
    <row r="15" spans="2:8" x14ac:dyDescent="0.2">
      <c r="B15" s="54">
        <v>35</v>
      </c>
      <c r="C15" s="96" t="s">
        <v>193</v>
      </c>
      <c r="D15" s="158" t="s">
        <v>393</v>
      </c>
      <c r="E15" s="125" t="s">
        <v>219</v>
      </c>
      <c r="F15" s="158" t="s">
        <v>419</v>
      </c>
      <c r="G15" s="132" t="s">
        <v>244</v>
      </c>
      <c r="H15" s="98"/>
    </row>
    <row r="16" spans="2:8" x14ac:dyDescent="0.2">
      <c r="B16" s="54">
        <v>36</v>
      </c>
      <c r="C16" s="96" t="s">
        <v>194</v>
      </c>
      <c r="D16" s="131" t="s">
        <v>394</v>
      </c>
      <c r="E16" s="125" t="s">
        <v>220</v>
      </c>
      <c r="F16" s="158" t="s">
        <v>420</v>
      </c>
      <c r="G16" s="132" t="s">
        <v>245</v>
      </c>
      <c r="H16" s="98"/>
    </row>
    <row r="17" spans="2:8" x14ac:dyDescent="0.2">
      <c r="B17" s="54">
        <v>37</v>
      </c>
      <c r="C17" s="96" t="s">
        <v>195</v>
      </c>
      <c r="D17" s="158" t="s">
        <v>395</v>
      </c>
      <c r="E17" s="125" t="s">
        <v>221</v>
      </c>
      <c r="F17" s="158" t="s">
        <v>421</v>
      </c>
      <c r="G17" s="132" t="s">
        <v>246</v>
      </c>
      <c r="H17" s="98"/>
    </row>
    <row r="18" spans="2:8" x14ac:dyDescent="0.2">
      <c r="B18" s="54">
        <v>38</v>
      </c>
      <c r="C18" s="96" t="s">
        <v>196</v>
      </c>
      <c r="D18" s="158" t="s">
        <v>396</v>
      </c>
      <c r="E18" s="125" t="s">
        <v>222</v>
      </c>
      <c r="F18" s="158" t="s">
        <v>422</v>
      </c>
      <c r="G18" s="132" t="s">
        <v>247</v>
      </c>
      <c r="H18" s="98"/>
    </row>
    <row r="19" spans="2:8" x14ac:dyDescent="0.2">
      <c r="B19" s="54">
        <v>39</v>
      </c>
      <c r="C19" s="96" t="s">
        <v>197</v>
      </c>
      <c r="D19" s="131" t="s">
        <v>397</v>
      </c>
      <c r="E19" s="125" t="s">
        <v>223</v>
      </c>
      <c r="F19" s="158" t="s">
        <v>423</v>
      </c>
      <c r="G19" s="132" t="s">
        <v>248</v>
      </c>
      <c r="H19" s="98"/>
    </row>
    <row r="20" spans="2:8" x14ac:dyDescent="0.2">
      <c r="B20" s="54">
        <v>40</v>
      </c>
      <c r="C20" s="96" t="s">
        <v>198</v>
      </c>
      <c r="D20" s="158" t="s">
        <v>398</v>
      </c>
      <c r="E20" s="125" t="s">
        <v>175</v>
      </c>
      <c r="F20" s="158" t="s">
        <v>424</v>
      </c>
      <c r="G20" s="132" t="s">
        <v>249</v>
      </c>
      <c r="H20" s="98"/>
    </row>
    <row r="21" spans="2:8" x14ac:dyDescent="0.2">
      <c r="B21" s="54">
        <v>41</v>
      </c>
      <c r="C21" s="96" t="s">
        <v>199</v>
      </c>
      <c r="D21" s="158" t="s">
        <v>399</v>
      </c>
      <c r="E21" s="125" t="s">
        <v>224</v>
      </c>
      <c r="F21" s="158" t="s">
        <v>425</v>
      </c>
      <c r="G21" s="132" t="s">
        <v>250</v>
      </c>
      <c r="H21" s="98"/>
    </row>
    <row r="22" spans="2:8" x14ac:dyDescent="0.2">
      <c r="B22" s="54">
        <v>42</v>
      </c>
      <c r="C22" s="96" t="s">
        <v>200</v>
      </c>
      <c r="D22" s="131" t="s">
        <v>400</v>
      </c>
      <c r="E22" s="125" t="s">
        <v>225</v>
      </c>
      <c r="F22" s="158" t="s">
        <v>426</v>
      </c>
      <c r="G22" s="132" t="s">
        <v>251</v>
      </c>
      <c r="H22" s="98"/>
    </row>
    <row r="23" spans="2:8" x14ac:dyDescent="0.2">
      <c r="B23" s="54">
        <v>43</v>
      </c>
      <c r="C23" s="96" t="s">
        <v>201</v>
      </c>
      <c r="D23" s="158" t="s">
        <v>401</v>
      </c>
      <c r="E23" s="125" t="s">
        <v>226</v>
      </c>
      <c r="F23" s="158" t="s">
        <v>427</v>
      </c>
      <c r="G23" s="132" t="s">
        <v>252</v>
      </c>
      <c r="H23" s="98"/>
    </row>
    <row r="24" spans="2:8" x14ac:dyDescent="0.2">
      <c r="B24" s="54">
        <v>44</v>
      </c>
      <c r="C24" s="96" t="s">
        <v>202</v>
      </c>
      <c r="D24" s="158" t="s">
        <v>402</v>
      </c>
      <c r="E24" s="125" t="s">
        <v>227</v>
      </c>
      <c r="F24" s="158" t="s">
        <v>428</v>
      </c>
      <c r="G24" s="132" t="s">
        <v>253</v>
      </c>
      <c r="H24" s="98"/>
    </row>
    <row r="25" spans="2:8" x14ac:dyDescent="0.2">
      <c r="B25" s="54">
        <v>45</v>
      </c>
      <c r="C25" s="96" t="s">
        <v>203</v>
      </c>
      <c r="D25" s="131" t="s">
        <v>403</v>
      </c>
      <c r="E25" s="125" t="s">
        <v>228</v>
      </c>
      <c r="F25" s="158" t="s">
        <v>429</v>
      </c>
      <c r="G25" s="132" t="s">
        <v>254</v>
      </c>
      <c r="H25" s="98"/>
    </row>
    <row r="26" spans="2:8" x14ac:dyDescent="0.2">
      <c r="B26" s="54">
        <v>46</v>
      </c>
      <c r="C26" s="96" t="s">
        <v>204</v>
      </c>
      <c r="D26" s="158" t="s">
        <v>404</v>
      </c>
      <c r="E26" s="125" t="s">
        <v>229</v>
      </c>
      <c r="F26" s="158" t="s">
        <v>430</v>
      </c>
      <c r="G26" s="132" t="s">
        <v>255</v>
      </c>
      <c r="H26" s="98"/>
    </row>
    <row r="27" spans="2:8" x14ac:dyDescent="0.2">
      <c r="B27" s="54">
        <v>47</v>
      </c>
      <c r="C27" s="96" t="s">
        <v>205</v>
      </c>
      <c r="D27" s="158" t="s">
        <v>405</v>
      </c>
      <c r="E27" s="125" t="s">
        <v>230</v>
      </c>
      <c r="F27" s="158" t="s">
        <v>431</v>
      </c>
      <c r="G27" s="132" t="s">
        <v>256</v>
      </c>
      <c r="H27" s="98"/>
    </row>
    <row r="28" spans="2:8" x14ac:dyDescent="0.2">
      <c r="B28" s="54">
        <v>48</v>
      </c>
      <c r="C28" s="96" t="s">
        <v>206</v>
      </c>
      <c r="D28" s="131" t="s">
        <v>406</v>
      </c>
      <c r="E28" s="125" t="s">
        <v>231</v>
      </c>
      <c r="F28" s="158" t="s">
        <v>432</v>
      </c>
      <c r="G28" s="132" t="s">
        <v>257</v>
      </c>
      <c r="H28" s="98"/>
    </row>
    <row r="29" spans="2:8" x14ac:dyDescent="0.2">
      <c r="B29" s="54">
        <v>49</v>
      </c>
      <c r="C29" s="96" t="s">
        <v>207</v>
      </c>
      <c r="D29" s="158" t="s">
        <v>407</v>
      </c>
      <c r="E29" s="125" t="s">
        <v>232</v>
      </c>
      <c r="F29" s="158" t="s">
        <v>433</v>
      </c>
      <c r="G29" s="132" t="s">
        <v>258</v>
      </c>
      <c r="H29" s="98"/>
    </row>
    <row r="30" spans="2:8" x14ac:dyDescent="0.2">
      <c r="B30" s="54">
        <v>50</v>
      </c>
      <c r="C30" s="96" t="s">
        <v>208</v>
      </c>
      <c r="D30" s="158" t="s">
        <v>408</v>
      </c>
      <c r="E30" s="125" t="s">
        <v>233</v>
      </c>
      <c r="F30" s="158" t="s">
        <v>434</v>
      </c>
      <c r="G30" s="132" t="s">
        <v>259</v>
      </c>
      <c r="H30" s="98"/>
    </row>
    <row r="33" spans="2:26" x14ac:dyDescent="0.2">
      <c r="B33" t="s">
        <v>369</v>
      </c>
      <c r="C33">
        <v>1</v>
      </c>
      <c r="D33">
        <v>2</v>
      </c>
      <c r="E33">
        <v>3</v>
      </c>
      <c r="F33">
        <v>4</v>
      </c>
      <c r="G33">
        <v>5</v>
      </c>
      <c r="H33">
        <v>6</v>
      </c>
      <c r="I33">
        <v>7</v>
      </c>
      <c r="J33">
        <v>8</v>
      </c>
      <c r="K33">
        <v>9</v>
      </c>
      <c r="L33">
        <v>10</v>
      </c>
      <c r="M33">
        <v>11</v>
      </c>
      <c r="N33">
        <v>12</v>
      </c>
      <c r="O33">
        <v>13</v>
      </c>
      <c r="P33">
        <v>14</v>
      </c>
      <c r="Q33">
        <v>15</v>
      </c>
      <c r="R33">
        <v>16</v>
      </c>
      <c r="S33">
        <v>17</v>
      </c>
      <c r="T33">
        <v>18</v>
      </c>
      <c r="U33">
        <v>19</v>
      </c>
      <c r="V33">
        <v>20</v>
      </c>
      <c r="W33">
        <v>21</v>
      </c>
      <c r="X33">
        <v>22</v>
      </c>
      <c r="Y33">
        <v>23</v>
      </c>
      <c r="Z33">
        <v>24</v>
      </c>
    </row>
    <row r="34" spans="2:26" s="113" customFormat="1" ht="13.5" thickBot="1" x14ac:dyDescent="0.25">
      <c r="C34" s="113" t="s">
        <v>265</v>
      </c>
      <c r="D34" s="112" t="s">
        <v>267</v>
      </c>
      <c r="E34" s="112" t="s">
        <v>270</v>
      </c>
      <c r="F34" s="112" t="s">
        <v>268</v>
      </c>
      <c r="G34" s="112" t="s">
        <v>271</v>
      </c>
      <c r="H34" s="112" t="s">
        <v>285</v>
      </c>
      <c r="I34" s="112" t="s">
        <v>286</v>
      </c>
      <c r="J34" s="112" t="s">
        <v>287</v>
      </c>
      <c r="K34" s="112" t="s">
        <v>288</v>
      </c>
      <c r="L34" s="112" t="s">
        <v>299</v>
      </c>
      <c r="M34" s="112" t="s">
        <v>360</v>
      </c>
      <c r="N34" s="112" t="s">
        <v>300</v>
      </c>
      <c r="O34" s="112" t="s">
        <v>359</v>
      </c>
      <c r="P34" s="112" t="s">
        <v>301</v>
      </c>
      <c r="Q34" s="112" t="s">
        <v>361</v>
      </c>
      <c r="R34" s="112" t="s">
        <v>289</v>
      </c>
      <c r="S34" s="112" t="s">
        <v>290</v>
      </c>
      <c r="T34" s="112" t="s">
        <v>291</v>
      </c>
      <c r="U34" s="112" t="s">
        <v>373</v>
      </c>
      <c r="V34" s="112" t="s">
        <v>374</v>
      </c>
      <c r="W34" s="112" t="s">
        <v>376</v>
      </c>
    </row>
    <row r="35" spans="2:26" x14ac:dyDescent="0.2">
      <c r="B35" s="221" t="s">
        <v>264</v>
      </c>
      <c r="C35" s="96" t="str">
        <f>C5</f>
        <v>01548647</v>
      </c>
      <c r="D35" s="117"/>
      <c r="E35" s="117"/>
      <c r="F35" s="118" t="s">
        <v>272</v>
      </c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</row>
    <row r="36" spans="2:26" x14ac:dyDescent="0.2">
      <c r="B36" s="221"/>
      <c r="C36" s="96" t="str">
        <f t="shared" ref="C36:C60" si="0">C6</f>
        <v>01548648</v>
      </c>
      <c r="D36" s="119"/>
      <c r="E36" s="119"/>
      <c r="F36" s="120" t="s">
        <v>272</v>
      </c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</row>
    <row r="37" spans="2:26" x14ac:dyDescent="0.2">
      <c r="B37" s="221"/>
      <c r="C37" s="96" t="str">
        <f t="shared" si="0"/>
        <v>01548649</v>
      </c>
      <c r="D37" s="119"/>
      <c r="E37" s="119"/>
      <c r="F37" s="120" t="s">
        <v>272</v>
      </c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</row>
    <row r="38" spans="2:26" x14ac:dyDescent="0.2">
      <c r="B38" s="221"/>
      <c r="C38" s="96" t="str">
        <f t="shared" si="0"/>
        <v>01548650</v>
      </c>
      <c r="D38" s="119"/>
      <c r="E38" s="119"/>
      <c r="F38" s="120" t="s">
        <v>272</v>
      </c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</row>
    <row r="39" spans="2:26" x14ac:dyDescent="0.2">
      <c r="B39" s="221"/>
      <c r="C39" s="96" t="str">
        <f t="shared" si="0"/>
        <v>01548651</v>
      </c>
      <c r="D39" s="119"/>
      <c r="E39" s="119"/>
      <c r="F39" s="120" t="s">
        <v>272</v>
      </c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</row>
    <row r="40" spans="2:26" x14ac:dyDescent="0.2">
      <c r="B40" s="221"/>
      <c r="C40" s="96" t="str">
        <f t="shared" si="0"/>
        <v>01548652</v>
      </c>
      <c r="D40" s="119"/>
      <c r="E40" s="119"/>
      <c r="F40" s="120" t="s">
        <v>272</v>
      </c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</row>
    <row r="41" spans="2:26" x14ac:dyDescent="0.2">
      <c r="B41" s="221"/>
      <c r="C41" s="96" t="str">
        <f t="shared" si="0"/>
        <v>01548653</v>
      </c>
      <c r="D41" s="119"/>
      <c r="E41" s="119"/>
      <c r="F41" s="120" t="s">
        <v>272</v>
      </c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</row>
    <row r="42" spans="2:26" x14ac:dyDescent="0.2">
      <c r="B42" s="221"/>
      <c r="C42" s="96" t="str">
        <f t="shared" si="0"/>
        <v>01548654</v>
      </c>
      <c r="D42" s="119"/>
      <c r="E42" s="119"/>
      <c r="F42" s="120" t="s">
        <v>272</v>
      </c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</row>
    <row r="43" spans="2:26" x14ac:dyDescent="0.2">
      <c r="B43" s="221"/>
      <c r="C43" s="96" t="str">
        <f t="shared" si="0"/>
        <v>01544220</v>
      </c>
      <c r="D43" s="119"/>
      <c r="E43" s="119"/>
      <c r="F43" s="120" t="s">
        <v>272</v>
      </c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</row>
    <row r="44" spans="2:26" x14ac:dyDescent="0.2">
      <c r="B44" s="221"/>
      <c r="C44" s="96" t="str">
        <f t="shared" si="0"/>
        <v>01548655</v>
      </c>
      <c r="D44" s="119"/>
      <c r="E44" s="119"/>
      <c r="F44" s="120" t="s">
        <v>272</v>
      </c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</row>
    <row r="45" spans="2:26" x14ac:dyDescent="0.2">
      <c r="B45" s="221"/>
      <c r="C45" s="96" t="str">
        <f t="shared" si="0"/>
        <v>01548656</v>
      </c>
      <c r="D45" s="119"/>
      <c r="E45" s="119"/>
      <c r="F45" s="120" t="s">
        <v>272</v>
      </c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</row>
    <row r="46" spans="2:26" x14ac:dyDescent="0.2">
      <c r="B46" s="221"/>
      <c r="C46" s="96" t="str">
        <f t="shared" si="0"/>
        <v>01548657</v>
      </c>
      <c r="D46" s="119"/>
      <c r="E46" s="119"/>
      <c r="F46" s="120" t="s">
        <v>272</v>
      </c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</row>
    <row r="47" spans="2:26" x14ac:dyDescent="0.2">
      <c r="B47" s="221"/>
      <c r="C47" s="96" t="str">
        <f t="shared" si="0"/>
        <v>01548658</v>
      </c>
      <c r="D47" s="119"/>
      <c r="E47" s="119"/>
      <c r="F47" s="120" t="s">
        <v>272</v>
      </c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</row>
    <row r="48" spans="2:26" x14ac:dyDescent="0.2">
      <c r="B48" s="221"/>
      <c r="C48" s="96" t="str">
        <f t="shared" si="0"/>
        <v>01548659</v>
      </c>
      <c r="D48" s="119"/>
      <c r="E48" s="119"/>
      <c r="F48" s="120" t="s">
        <v>272</v>
      </c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</row>
    <row r="49" spans="2:23" x14ac:dyDescent="0.2">
      <c r="B49" s="221"/>
      <c r="C49" s="96" t="str">
        <f t="shared" si="0"/>
        <v>01548660</v>
      </c>
      <c r="D49" s="119"/>
      <c r="E49" s="119"/>
      <c r="F49" s="120" t="s">
        <v>272</v>
      </c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</row>
    <row r="50" spans="2:23" x14ac:dyDescent="0.2">
      <c r="B50" s="221"/>
      <c r="C50" s="96" t="str">
        <f t="shared" si="0"/>
        <v>01544221</v>
      </c>
      <c r="D50" s="119"/>
      <c r="E50" s="119"/>
      <c r="F50" s="120" t="s">
        <v>272</v>
      </c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</row>
    <row r="51" spans="2:23" x14ac:dyDescent="0.2">
      <c r="B51" s="221"/>
      <c r="C51" s="96" t="str">
        <f t="shared" si="0"/>
        <v>01550908</v>
      </c>
      <c r="D51" s="119"/>
      <c r="E51" s="119"/>
      <c r="F51" s="120" t="s">
        <v>272</v>
      </c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</row>
    <row r="52" spans="2:23" x14ac:dyDescent="0.2">
      <c r="B52" s="221"/>
      <c r="C52" s="96" t="str">
        <f t="shared" si="0"/>
        <v>01550909</v>
      </c>
      <c r="D52" s="119"/>
      <c r="E52" s="119"/>
      <c r="F52" s="120" t="s">
        <v>272</v>
      </c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</row>
    <row r="53" spans="2:23" x14ac:dyDescent="0.2">
      <c r="B53" s="221"/>
      <c r="C53" s="96" t="str">
        <f t="shared" si="0"/>
        <v>01550910</v>
      </c>
      <c r="D53" s="119"/>
      <c r="E53" s="119"/>
      <c r="F53" s="120" t="s">
        <v>272</v>
      </c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</row>
    <row r="54" spans="2:23" x14ac:dyDescent="0.2">
      <c r="B54" s="221"/>
      <c r="C54" s="96" t="str">
        <f t="shared" si="0"/>
        <v>01550911</v>
      </c>
      <c r="D54" s="119"/>
      <c r="E54" s="119"/>
      <c r="F54" s="120" t="s">
        <v>272</v>
      </c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</row>
    <row r="55" spans="2:23" x14ac:dyDescent="0.2">
      <c r="B55" s="221"/>
      <c r="C55" s="96" t="str">
        <f t="shared" si="0"/>
        <v>01550912</v>
      </c>
      <c r="D55" s="119"/>
      <c r="E55" s="119"/>
      <c r="F55" s="120" t="s">
        <v>272</v>
      </c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</row>
    <row r="56" spans="2:23" x14ac:dyDescent="0.2">
      <c r="B56" s="221"/>
      <c r="C56" s="96" t="str">
        <f t="shared" si="0"/>
        <v>01550913</v>
      </c>
      <c r="D56" s="119"/>
      <c r="E56" s="119"/>
      <c r="F56" s="120" t="s">
        <v>272</v>
      </c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</row>
    <row r="57" spans="2:23" x14ac:dyDescent="0.2">
      <c r="B57" s="221"/>
      <c r="C57" s="96" t="str">
        <f t="shared" si="0"/>
        <v>01550914</v>
      </c>
      <c r="D57" s="119"/>
      <c r="E57" s="119"/>
      <c r="F57" s="120" t="s">
        <v>272</v>
      </c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</row>
    <row r="58" spans="2:23" x14ac:dyDescent="0.2">
      <c r="B58" s="221"/>
      <c r="C58" s="96" t="str">
        <f t="shared" si="0"/>
        <v>01550915</v>
      </c>
      <c r="D58" s="119"/>
      <c r="E58" s="119"/>
      <c r="F58" s="120" t="s">
        <v>272</v>
      </c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</row>
    <row r="59" spans="2:23" x14ac:dyDescent="0.2">
      <c r="B59" s="221"/>
      <c r="C59" s="96" t="str">
        <f t="shared" si="0"/>
        <v>01550916</v>
      </c>
      <c r="D59" s="119"/>
      <c r="E59" s="119"/>
      <c r="F59" s="120" t="s">
        <v>272</v>
      </c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</row>
    <row r="60" spans="2:23" s="113" customFormat="1" ht="13.5" thickBot="1" x14ac:dyDescent="0.25">
      <c r="B60" s="221"/>
      <c r="C60" s="114" t="str">
        <f t="shared" si="0"/>
        <v>01550917</v>
      </c>
      <c r="D60" s="121"/>
      <c r="E60" s="121"/>
      <c r="F60" s="122" t="s">
        <v>272</v>
      </c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</row>
    <row r="61" spans="2:23" x14ac:dyDescent="0.2">
      <c r="B61" s="221" t="s">
        <v>180</v>
      </c>
      <c r="C61" s="97" t="str">
        <f>D5</f>
        <v>01700401</v>
      </c>
      <c r="D61" s="129" t="s">
        <v>282</v>
      </c>
      <c r="E61" s="2" t="s">
        <v>269</v>
      </c>
      <c r="F61" s="2" t="s">
        <v>298</v>
      </c>
      <c r="G61" s="2" t="s">
        <v>278</v>
      </c>
      <c r="H61" s="2" t="s">
        <v>279</v>
      </c>
      <c r="I61" s="2" t="s">
        <v>273</v>
      </c>
      <c r="J61" s="2" t="s">
        <v>275</v>
      </c>
      <c r="K61" s="2" t="s">
        <v>274</v>
      </c>
      <c r="L61" s="109" t="s">
        <v>305</v>
      </c>
      <c r="M61" s="2" t="s">
        <v>362</v>
      </c>
      <c r="N61" s="109" t="s">
        <v>302</v>
      </c>
      <c r="O61" s="2" t="s">
        <v>366</v>
      </c>
      <c r="P61" s="109" t="s">
        <v>304</v>
      </c>
      <c r="Q61" s="2" t="s">
        <v>364</v>
      </c>
      <c r="R61" s="129" t="s">
        <v>292</v>
      </c>
      <c r="S61" s="2" t="s">
        <v>375</v>
      </c>
      <c r="T61" s="2" t="s">
        <v>372</v>
      </c>
      <c r="U61" s="2" t="s">
        <v>437</v>
      </c>
      <c r="V61" s="2" t="s">
        <v>379</v>
      </c>
      <c r="W61" s="2" t="s">
        <v>377</v>
      </c>
    </row>
    <row r="62" spans="2:23" x14ac:dyDescent="0.2">
      <c r="B62" s="221"/>
      <c r="C62" s="97" t="str">
        <f t="shared" ref="C62:C86" si="1">D6</f>
        <v>01700402</v>
      </c>
      <c r="D62" s="129" t="s">
        <v>282</v>
      </c>
      <c r="E62" s="2" t="s">
        <v>269</v>
      </c>
      <c r="F62" s="2" t="s">
        <v>298</v>
      </c>
      <c r="G62" s="2" t="s">
        <v>278</v>
      </c>
      <c r="H62" s="2" t="s">
        <v>279</v>
      </c>
      <c r="I62" s="2" t="s">
        <v>273</v>
      </c>
      <c r="J62" s="2" t="s">
        <v>275</v>
      </c>
      <c r="K62" s="2" t="s">
        <v>274</v>
      </c>
      <c r="L62" s="109" t="s">
        <v>305</v>
      </c>
      <c r="M62" s="2" t="s">
        <v>362</v>
      </c>
      <c r="N62" s="109" t="s">
        <v>302</v>
      </c>
      <c r="O62" s="2" t="s">
        <v>366</v>
      </c>
      <c r="P62" s="109" t="s">
        <v>306</v>
      </c>
      <c r="Q62" s="2" t="s">
        <v>364</v>
      </c>
      <c r="R62" s="129" t="s">
        <v>292</v>
      </c>
      <c r="S62" s="2" t="s">
        <v>375</v>
      </c>
      <c r="T62" s="2" t="s">
        <v>372</v>
      </c>
      <c r="U62" s="2" t="s">
        <v>437</v>
      </c>
      <c r="V62" s="2" t="s">
        <v>379</v>
      </c>
      <c r="W62" s="2" t="s">
        <v>377</v>
      </c>
    </row>
    <row r="63" spans="2:23" x14ac:dyDescent="0.2">
      <c r="B63" s="221"/>
      <c r="C63" s="97" t="str">
        <f t="shared" si="1"/>
        <v>01700403</v>
      </c>
      <c r="D63" s="129" t="s">
        <v>282</v>
      </c>
      <c r="E63" s="2" t="s">
        <v>269</v>
      </c>
      <c r="F63" s="2" t="s">
        <v>298</v>
      </c>
      <c r="G63" s="2" t="s">
        <v>278</v>
      </c>
      <c r="H63" s="2" t="s">
        <v>279</v>
      </c>
      <c r="I63" s="2" t="s">
        <v>273</v>
      </c>
      <c r="J63" s="2" t="s">
        <v>275</v>
      </c>
      <c r="K63" s="2" t="s">
        <v>274</v>
      </c>
      <c r="L63" s="109" t="s">
        <v>305</v>
      </c>
      <c r="M63" s="2" t="s">
        <v>362</v>
      </c>
      <c r="N63" s="109" t="s">
        <v>302</v>
      </c>
      <c r="O63" s="2" t="s">
        <v>366</v>
      </c>
      <c r="P63" s="109" t="s">
        <v>307</v>
      </c>
      <c r="Q63" s="2" t="s">
        <v>364</v>
      </c>
      <c r="R63" s="129" t="s">
        <v>292</v>
      </c>
      <c r="S63" s="2" t="s">
        <v>375</v>
      </c>
      <c r="T63" s="2" t="s">
        <v>372</v>
      </c>
      <c r="U63" s="2" t="s">
        <v>437</v>
      </c>
      <c r="V63" s="2" t="s">
        <v>379</v>
      </c>
      <c r="W63" s="2" t="s">
        <v>377</v>
      </c>
    </row>
    <row r="64" spans="2:23" x14ac:dyDescent="0.2">
      <c r="B64" s="221"/>
      <c r="C64" s="97" t="str">
        <f t="shared" si="1"/>
        <v>01700404</v>
      </c>
      <c r="D64" s="129" t="s">
        <v>282</v>
      </c>
      <c r="E64" s="2" t="s">
        <v>269</v>
      </c>
      <c r="F64" s="2" t="s">
        <v>298</v>
      </c>
      <c r="G64" s="2" t="s">
        <v>278</v>
      </c>
      <c r="H64" s="2" t="s">
        <v>279</v>
      </c>
      <c r="I64" s="2" t="s">
        <v>273</v>
      </c>
      <c r="J64" s="2" t="s">
        <v>275</v>
      </c>
      <c r="K64" s="2" t="s">
        <v>274</v>
      </c>
      <c r="L64" s="109" t="s">
        <v>305</v>
      </c>
      <c r="M64" s="2" t="s">
        <v>362</v>
      </c>
      <c r="N64" s="109" t="s">
        <v>302</v>
      </c>
      <c r="O64" s="2" t="s">
        <v>366</v>
      </c>
      <c r="P64" s="109" t="s">
        <v>308</v>
      </c>
      <c r="Q64" s="2" t="s">
        <v>364</v>
      </c>
      <c r="R64" s="129" t="s">
        <v>292</v>
      </c>
      <c r="S64" s="2" t="s">
        <v>375</v>
      </c>
      <c r="T64" s="2" t="s">
        <v>372</v>
      </c>
      <c r="U64" s="2" t="s">
        <v>437</v>
      </c>
      <c r="V64" s="2" t="s">
        <v>379</v>
      </c>
      <c r="W64" s="2" t="s">
        <v>377</v>
      </c>
    </row>
    <row r="65" spans="2:23" x14ac:dyDescent="0.2">
      <c r="B65" s="221"/>
      <c r="C65" s="97" t="str">
        <f t="shared" si="1"/>
        <v>01700405</v>
      </c>
      <c r="D65" s="129" t="s">
        <v>282</v>
      </c>
      <c r="E65" s="2" t="s">
        <v>269</v>
      </c>
      <c r="F65" s="2" t="s">
        <v>298</v>
      </c>
      <c r="G65" s="2" t="s">
        <v>278</v>
      </c>
      <c r="H65" s="2" t="s">
        <v>279</v>
      </c>
      <c r="I65" s="2" t="s">
        <v>273</v>
      </c>
      <c r="J65" s="2" t="s">
        <v>275</v>
      </c>
      <c r="K65" s="2" t="s">
        <v>274</v>
      </c>
      <c r="L65" s="109" t="s">
        <v>305</v>
      </c>
      <c r="M65" s="2" t="s">
        <v>362</v>
      </c>
      <c r="N65" s="109" t="s">
        <v>302</v>
      </c>
      <c r="O65" s="2" t="s">
        <v>366</v>
      </c>
      <c r="P65" s="109" t="s">
        <v>309</v>
      </c>
      <c r="Q65" s="2" t="s">
        <v>364</v>
      </c>
      <c r="R65" s="129" t="s">
        <v>292</v>
      </c>
      <c r="S65" s="2" t="s">
        <v>375</v>
      </c>
      <c r="T65" s="2" t="s">
        <v>372</v>
      </c>
      <c r="U65" s="2" t="s">
        <v>437</v>
      </c>
      <c r="V65" s="2" t="s">
        <v>379</v>
      </c>
      <c r="W65" s="2" t="s">
        <v>377</v>
      </c>
    </row>
    <row r="66" spans="2:23" x14ac:dyDescent="0.2">
      <c r="B66" s="221"/>
      <c r="C66" s="97" t="str">
        <f t="shared" si="1"/>
        <v>01700406</v>
      </c>
      <c r="D66" s="129" t="s">
        <v>282</v>
      </c>
      <c r="E66" s="2" t="s">
        <v>269</v>
      </c>
      <c r="F66" s="2" t="s">
        <v>298</v>
      </c>
      <c r="G66" s="2" t="s">
        <v>278</v>
      </c>
      <c r="H66" s="2" t="s">
        <v>279</v>
      </c>
      <c r="I66" s="2" t="s">
        <v>273</v>
      </c>
      <c r="J66" s="2" t="s">
        <v>275</v>
      </c>
      <c r="K66" s="2" t="s">
        <v>274</v>
      </c>
      <c r="L66" s="109" t="s">
        <v>305</v>
      </c>
      <c r="M66" s="2" t="s">
        <v>362</v>
      </c>
      <c r="N66" s="109" t="s">
        <v>302</v>
      </c>
      <c r="O66" s="2" t="s">
        <v>366</v>
      </c>
      <c r="P66" s="109" t="s">
        <v>310</v>
      </c>
      <c r="Q66" s="2" t="s">
        <v>364</v>
      </c>
      <c r="R66" s="129" t="s">
        <v>292</v>
      </c>
      <c r="S66" s="2" t="s">
        <v>375</v>
      </c>
      <c r="T66" s="2" t="s">
        <v>372</v>
      </c>
      <c r="U66" s="2" t="s">
        <v>437</v>
      </c>
      <c r="V66" s="2" t="s">
        <v>379</v>
      </c>
      <c r="W66" s="2" t="s">
        <v>377</v>
      </c>
    </row>
    <row r="67" spans="2:23" x14ac:dyDescent="0.2">
      <c r="B67" s="221"/>
      <c r="C67" s="97" t="str">
        <f t="shared" si="1"/>
        <v>01700408</v>
      </c>
      <c r="D67" s="129" t="s">
        <v>282</v>
      </c>
      <c r="E67" s="2" t="s">
        <v>269</v>
      </c>
      <c r="F67" s="2" t="s">
        <v>298</v>
      </c>
      <c r="G67" s="2" t="s">
        <v>278</v>
      </c>
      <c r="H67" s="2" t="s">
        <v>279</v>
      </c>
      <c r="I67" s="2" t="s">
        <v>273</v>
      </c>
      <c r="J67" s="2" t="s">
        <v>275</v>
      </c>
      <c r="K67" s="2" t="s">
        <v>274</v>
      </c>
      <c r="L67" s="109" t="s">
        <v>305</v>
      </c>
      <c r="M67" s="2" t="s">
        <v>362</v>
      </c>
      <c r="N67" s="109" t="s">
        <v>302</v>
      </c>
      <c r="O67" s="2" t="s">
        <v>366</v>
      </c>
      <c r="P67" s="109" t="s">
        <v>311</v>
      </c>
      <c r="Q67" s="2" t="s">
        <v>364</v>
      </c>
      <c r="R67" s="129" t="s">
        <v>292</v>
      </c>
      <c r="S67" s="2" t="s">
        <v>375</v>
      </c>
      <c r="T67" s="2" t="s">
        <v>372</v>
      </c>
      <c r="U67" s="2" t="s">
        <v>437</v>
      </c>
      <c r="V67" s="2" t="s">
        <v>379</v>
      </c>
      <c r="W67" s="2" t="s">
        <v>377</v>
      </c>
    </row>
    <row r="68" spans="2:23" x14ac:dyDescent="0.2">
      <c r="B68" s="221"/>
      <c r="C68" s="97" t="str">
        <f t="shared" si="1"/>
        <v>01700409</v>
      </c>
      <c r="D68" s="129" t="s">
        <v>282</v>
      </c>
      <c r="E68" s="2" t="s">
        <v>269</v>
      </c>
      <c r="F68" s="2" t="s">
        <v>298</v>
      </c>
      <c r="G68" s="2" t="s">
        <v>278</v>
      </c>
      <c r="H68" s="2" t="s">
        <v>279</v>
      </c>
      <c r="I68" s="2" t="s">
        <v>273</v>
      </c>
      <c r="J68" s="2" t="s">
        <v>275</v>
      </c>
      <c r="K68" s="2" t="s">
        <v>274</v>
      </c>
      <c r="L68" s="109" t="s">
        <v>305</v>
      </c>
      <c r="M68" s="2" t="s">
        <v>362</v>
      </c>
      <c r="N68" s="109" t="s">
        <v>302</v>
      </c>
      <c r="O68" s="2" t="s">
        <v>366</v>
      </c>
      <c r="P68" s="109" t="s">
        <v>312</v>
      </c>
      <c r="Q68" s="2" t="s">
        <v>364</v>
      </c>
      <c r="R68" s="129" t="s">
        <v>292</v>
      </c>
      <c r="S68" s="2" t="s">
        <v>375</v>
      </c>
      <c r="T68" s="2" t="s">
        <v>372</v>
      </c>
      <c r="U68" s="2" t="s">
        <v>437</v>
      </c>
      <c r="V68" s="2" t="s">
        <v>379</v>
      </c>
      <c r="W68" s="2" t="s">
        <v>377</v>
      </c>
    </row>
    <row r="69" spans="2:23" x14ac:dyDescent="0.2">
      <c r="B69" s="221"/>
      <c r="C69" s="97" t="str">
        <f t="shared" si="1"/>
        <v>01700410</v>
      </c>
      <c r="D69" s="129" t="s">
        <v>282</v>
      </c>
      <c r="E69" s="2" t="s">
        <v>269</v>
      </c>
      <c r="F69" s="2" t="s">
        <v>298</v>
      </c>
      <c r="G69" s="2" t="s">
        <v>278</v>
      </c>
      <c r="H69" s="2" t="s">
        <v>279</v>
      </c>
      <c r="I69" s="2" t="s">
        <v>273</v>
      </c>
      <c r="J69" s="2" t="s">
        <v>275</v>
      </c>
      <c r="K69" s="2" t="s">
        <v>274</v>
      </c>
      <c r="L69" s="109" t="s">
        <v>305</v>
      </c>
      <c r="M69" s="2" t="s">
        <v>362</v>
      </c>
      <c r="N69" s="109" t="s">
        <v>302</v>
      </c>
      <c r="O69" s="2" t="s">
        <v>366</v>
      </c>
      <c r="P69" s="109" t="s">
        <v>313</v>
      </c>
      <c r="Q69" s="2" t="s">
        <v>364</v>
      </c>
      <c r="R69" s="129" t="s">
        <v>292</v>
      </c>
      <c r="S69" s="2" t="s">
        <v>375</v>
      </c>
      <c r="T69" s="2" t="s">
        <v>372</v>
      </c>
      <c r="U69" s="2" t="s">
        <v>437</v>
      </c>
      <c r="V69" s="2" t="s">
        <v>379</v>
      </c>
      <c r="W69" s="2" t="s">
        <v>377</v>
      </c>
    </row>
    <row r="70" spans="2:23" x14ac:dyDescent="0.2">
      <c r="B70" s="221"/>
      <c r="C70" s="97" t="str">
        <f t="shared" si="1"/>
        <v>01700411</v>
      </c>
      <c r="D70" s="129" t="s">
        <v>282</v>
      </c>
      <c r="E70" s="2" t="s">
        <v>269</v>
      </c>
      <c r="F70" s="2" t="s">
        <v>298</v>
      </c>
      <c r="G70" s="2" t="s">
        <v>278</v>
      </c>
      <c r="H70" s="2" t="s">
        <v>279</v>
      </c>
      <c r="I70" s="2" t="s">
        <v>273</v>
      </c>
      <c r="J70" s="2" t="s">
        <v>275</v>
      </c>
      <c r="K70" s="2" t="s">
        <v>274</v>
      </c>
      <c r="L70" s="109" t="s">
        <v>305</v>
      </c>
      <c r="M70" s="2" t="s">
        <v>362</v>
      </c>
      <c r="N70" s="109" t="s">
        <v>302</v>
      </c>
      <c r="O70" s="2" t="s">
        <v>366</v>
      </c>
      <c r="P70" s="109" t="s">
        <v>314</v>
      </c>
      <c r="Q70" s="2" t="s">
        <v>364</v>
      </c>
      <c r="R70" s="129" t="s">
        <v>292</v>
      </c>
      <c r="S70" s="2" t="s">
        <v>375</v>
      </c>
      <c r="T70" s="2" t="s">
        <v>372</v>
      </c>
      <c r="U70" s="2" t="s">
        <v>437</v>
      </c>
      <c r="V70" s="2" t="s">
        <v>379</v>
      </c>
      <c r="W70" s="2" t="s">
        <v>377</v>
      </c>
    </row>
    <row r="71" spans="2:23" x14ac:dyDescent="0.2">
      <c r="B71" s="221"/>
      <c r="C71" s="97" t="str">
        <f t="shared" si="1"/>
        <v>01700412</v>
      </c>
      <c r="D71" s="129" t="s">
        <v>282</v>
      </c>
      <c r="E71" s="2" t="s">
        <v>269</v>
      </c>
      <c r="F71" s="2" t="s">
        <v>298</v>
      </c>
      <c r="G71" s="2" t="s">
        <v>278</v>
      </c>
      <c r="H71" s="2" t="s">
        <v>279</v>
      </c>
      <c r="I71" s="2" t="s">
        <v>273</v>
      </c>
      <c r="J71" s="2" t="s">
        <v>275</v>
      </c>
      <c r="K71" s="2" t="s">
        <v>274</v>
      </c>
      <c r="L71" s="109" t="s">
        <v>305</v>
      </c>
      <c r="M71" s="2" t="s">
        <v>362</v>
      </c>
      <c r="N71" s="109" t="s">
        <v>302</v>
      </c>
      <c r="O71" s="2" t="s">
        <v>366</v>
      </c>
      <c r="P71" s="109" t="s">
        <v>315</v>
      </c>
      <c r="Q71" s="2" t="s">
        <v>364</v>
      </c>
      <c r="R71" s="129" t="s">
        <v>292</v>
      </c>
      <c r="S71" s="2" t="s">
        <v>375</v>
      </c>
      <c r="T71" s="2" t="s">
        <v>372</v>
      </c>
      <c r="U71" s="2" t="s">
        <v>437</v>
      </c>
      <c r="V71" s="2" t="s">
        <v>379</v>
      </c>
      <c r="W71" s="2" t="s">
        <v>377</v>
      </c>
    </row>
    <row r="72" spans="2:23" x14ac:dyDescent="0.2">
      <c r="B72" s="221"/>
      <c r="C72" s="97" t="str">
        <f t="shared" si="1"/>
        <v>01700413</v>
      </c>
      <c r="D72" s="129" t="s">
        <v>282</v>
      </c>
      <c r="E72" s="2" t="s">
        <v>269</v>
      </c>
      <c r="F72" s="2" t="s">
        <v>298</v>
      </c>
      <c r="G72" s="2" t="s">
        <v>278</v>
      </c>
      <c r="H72" s="2" t="s">
        <v>279</v>
      </c>
      <c r="I72" s="2" t="s">
        <v>273</v>
      </c>
      <c r="J72" s="2" t="s">
        <v>275</v>
      </c>
      <c r="K72" s="2" t="s">
        <v>274</v>
      </c>
      <c r="L72" s="109" t="s">
        <v>305</v>
      </c>
      <c r="M72" s="2" t="s">
        <v>362</v>
      </c>
      <c r="N72" s="109" t="s">
        <v>302</v>
      </c>
      <c r="O72" s="2" t="s">
        <v>366</v>
      </c>
      <c r="P72" s="109" t="s">
        <v>316</v>
      </c>
      <c r="Q72" s="2" t="s">
        <v>364</v>
      </c>
      <c r="R72" s="129" t="s">
        <v>292</v>
      </c>
      <c r="S72" s="2" t="s">
        <v>375</v>
      </c>
      <c r="T72" s="2" t="s">
        <v>372</v>
      </c>
      <c r="U72" s="2" t="s">
        <v>437</v>
      </c>
      <c r="V72" s="2" t="s">
        <v>379</v>
      </c>
      <c r="W72" s="2" t="s">
        <v>377</v>
      </c>
    </row>
    <row r="73" spans="2:23" x14ac:dyDescent="0.2">
      <c r="B73" s="221"/>
      <c r="C73" s="97" t="str">
        <f t="shared" si="1"/>
        <v>01700414</v>
      </c>
      <c r="D73" s="129" t="s">
        <v>282</v>
      </c>
      <c r="E73" s="2" t="s">
        <v>269</v>
      </c>
      <c r="F73" s="2" t="s">
        <v>298</v>
      </c>
      <c r="G73" s="2" t="s">
        <v>278</v>
      </c>
      <c r="H73" s="2" t="s">
        <v>279</v>
      </c>
      <c r="I73" s="2" t="s">
        <v>273</v>
      </c>
      <c r="J73" s="2" t="s">
        <v>275</v>
      </c>
      <c r="K73" s="2" t="s">
        <v>274</v>
      </c>
      <c r="L73" s="109" t="s">
        <v>305</v>
      </c>
      <c r="M73" s="2" t="s">
        <v>362</v>
      </c>
      <c r="N73" s="109" t="s">
        <v>302</v>
      </c>
      <c r="O73" s="2" t="s">
        <v>366</v>
      </c>
      <c r="P73" s="109" t="s">
        <v>317</v>
      </c>
      <c r="Q73" s="2" t="s">
        <v>364</v>
      </c>
      <c r="R73" s="129" t="s">
        <v>292</v>
      </c>
      <c r="S73" s="2" t="s">
        <v>375</v>
      </c>
      <c r="T73" s="2" t="s">
        <v>372</v>
      </c>
      <c r="U73" s="2" t="s">
        <v>437</v>
      </c>
      <c r="V73" s="2" t="s">
        <v>379</v>
      </c>
      <c r="W73" s="2" t="s">
        <v>377</v>
      </c>
    </row>
    <row r="74" spans="2:23" x14ac:dyDescent="0.2">
      <c r="B74" s="221"/>
      <c r="C74" s="97" t="str">
        <f t="shared" si="1"/>
        <v>01700415</v>
      </c>
      <c r="D74" s="129" t="s">
        <v>282</v>
      </c>
      <c r="E74" s="2" t="s">
        <v>269</v>
      </c>
      <c r="F74" s="2" t="s">
        <v>298</v>
      </c>
      <c r="G74" s="2" t="s">
        <v>278</v>
      </c>
      <c r="H74" s="2" t="s">
        <v>279</v>
      </c>
      <c r="I74" s="2" t="s">
        <v>273</v>
      </c>
      <c r="J74" s="2" t="s">
        <v>275</v>
      </c>
      <c r="K74" s="2" t="s">
        <v>274</v>
      </c>
      <c r="L74" s="109" t="s">
        <v>305</v>
      </c>
      <c r="M74" s="2" t="s">
        <v>362</v>
      </c>
      <c r="N74" s="109" t="s">
        <v>302</v>
      </c>
      <c r="O74" s="2" t="s">
        <v>366</v>
      </c>
      <c r="P74" s="109" t="s">
        <v>318</v>
      </c>
      <c r="Q74" s="2" t="s">
        <v>364</v>
      </c>
      <c r="R74" s="129" t="s">
        <v>292</v>
      </c>
      <c r="S74" s="2" t="s">
        <v>375</v>
      </c>
      <c r="T74" s="2" t="s">
        <v>372</v>
      </c>
      <c r="U74" s="2" t="s">
        <v>437</v>
      </c>
      <c r="V74" s="2" t="s">
        <v>379</v>
      </c>
      <c r="W74" s="2" t="s">
        <v>377</v>
      </c>
    </row>
    <row r="75" spans="2:23" x14ac:dyDescent="0.2">
      <c r="B75" s="221"/>
      <c r="C75" s="97" t="str">
        <f t="shared" si="1"/>
        <v>01700416</v>
      </c>
      <c r="D75" s="129" t="s">
        <v>282</v>
      </c>
      <c r="E75" s="2" t="s">
        <v>269</v>
      </c>
      <c r="F75" s="2" t="s">
        <v>298</v>
      </c>
      <c r="G75" s="2" t="s">
        <v>278</v>
      </c>
      <c r="H75" s="2" t="s">
        <v>279</v>
      </c>
      <c r="I75" s="2" t="s">
        <v>273</v>
      </c>
      <c r="J75" s="2" t="s">
        <v>275</v>
      </c>
      <c r="K75" s="2" t="s">
        <v>274</v>
      </c>
      <c r="L75" s="109" t="s">
        <v>305</v>
      </c>
      <c r="M75" s="2" t="s">
        <v>362</v>
      </c>
      <c r="N75" s="109" t="s">
        <v>302</v>
      </c>
      <c r="O75" s="2" t="s">
        <v>366</v>
      </c>
      <c r="P75" s="109" t="s">
        <v>319</v>
      </c>
      <c r="Q75" s="2" t="s">
        <v>364</v>
      </c>
      <c r="R75" s="129" t="s">
        <v>292</v>
      </c>
      <c r="S75" s="2" t="s">
        <v>375</v>
      </c>
      <c r="T75" s="2" t="s">
        <v>372</v>
      </c>
      <c r="U75" s="2" t="s">
        <v>437</v>
      </c>
      <c r="V75" s="2" t="s">
        <v>379</v>
      </c>
      <c r="W75" s="2" t="s">
        <v>377</v>
      </c>
    </row>
    <row r="76" spans="2:23" x14ac:dyDescent="0.2">
      <c r="B76" s="221"/>
      <c r="C76" s="97" t="str">
        <f t="shared" si="1"/>
        <v>01700417</v>
      </c>
      <c r="D76" s="129" t="s">
        <v>282</v>
      </c>
      <c r="E76" s="2" t="s">
        <v>269</v>
      </c>
      <c r="F76" s="2" t="s">
        <v>298</v>
      </c>
      <c r="G76" s="2" t="s">
        <v>278</v>
      </c>
      <c r="H76" s="2" t="s">
        <v>279</v>
      </c>
      <c r="I76" s="2" t="s">
        <v>273</v>
      </c>
      <c r="J76" s="2" t="s">
        <v>275</v>
      </c>
      <c r="K76" s="2" t="s">
        <v>274</v>
      </c>
      <c r="L76" s="109" t="s">
        <v>305</v>
      </c>
      <c r="M76" s="2" t="s">
        <v>362</v>
      </c>
      <c r="N76" s="109" t="s">
        <v>302</v>
      </c>
      <c r="O76" s="2" t="s">
        <v>366</v>
      </c>
      <c r="P76" s="109" t="s">
        <v>320</v>
      </c>
      <c r="Q76" s="2" t="s">
        <v>364</v>
      </c>
      <c r="R76" s="129" t="s">
        <v>292</v>
      </c>
      <c r="S76" s="2" t="s">
        <v>375</v>
      </c>
      <c r="T76" s="2" t="s">
        <v>372</v>
      </c>
      <c r="U76" s="2" t="s">
        <v>437</v>
      </c>
      <c r="V76" s="2" t="s">
        <v>379</v>
      </c>
      <c r="W76" s="2" t="s">
        <v>377</v>
      </c>
    </row>
    <row r="77" spans="2:23" x14ac:dyDescent="0.2">
      <c r="B77" s="221"/>
      <c r="C77" s="97" t="str">
        <f t="shared" si="1"/>
        <v>01700418</v>
      </c>
      <c r="D77" s="129" t="s">
        <v>282</v>
      </c>
      <c r="E77" s="2" t="s">
        <v>269</v>
      </c>
      <c r="F77" s="2" t="s">
        <v>298</v>
      </c>
      <c r="G77" s="2" t="s">
        <v>278</v>
      </c>
      <c r="H77" s="2" t="s">
        <v>279</v>
      </c>
      <c r="I77" s="2" t="s">
        <v>273</v>
      </c>
      <c r="J77" s="2" t="s">
        <v>275</v>
      </c>
      <c r="K77" s="2" t="s">
        <v>274</v>
      </c>
      <c r="L77" s="109" t="s">
        <v>305</v>
      </c>
      <c r="M77" s="2" t="s">
        <v>362</v>
      </c>
      <c r="N77" s="109" t="s">
        <v>302</v>
      </c>
      <c r="O77" s="2" t="s">
        <v>366</v>
      </c>
      <c r="P77" s="109" t="s">
        <v>321</v>
      </c>
      <c r="Q77" s="2" t="s">
        <v>364</v>
      </c>
      <c r="R77" s="129" t="s">
        <v>292</v>
      </c>
      <c r="S77" s="2" t="s">
        <v>375</v>
      </c>
      <c r="T77" s="2" t="s">
        <v>372</v>
      </c>
      <c r="U77" s="2" t="s">
        <v>437</v>
      </c>
      <c r="V77" s="2" t="s">
        <v>379</v>
      </c>
      <c r="W77" s="2" t="s">
        <v>377</v>
      </c>
    </row>
    <row r="78" spans="2:23" x14ac:dyDescent="0.2">
      <c r="B78" s="221"/>
      <c r="C78" s="97" t="str">
        <f t="shared" si="1"/>
        <v>01700419</v>
      </c>
      <c r="D78" s="129" t="s">
        <v>282</v>
      </c>
      <c r="E78" s="2" t="s">
        <v>269</v>
      </c>
      <c r="F78" s="2" t="s">
        <v>298</v>
      </c>
      <c r="G78" s="2" t="s">
        <v>278</v>
      </c>
      <c r="H78" s="2" t="s">
        <v>279</v>
      </c>
      <c r="I78" s="2" t="s">
        <v>273</v>
      </c>
      <c r="J78" s="2" t="s">
        <v>275</v>
      </c>
      <c r="K78" s="2" t="s">
        <v>274</v>
      </c>
      <c r="L78" s="109" t="s">
        <v>305</v>
      </c>
      <c r="M78" s="2" t="s">
        <v>362</v>
      </c>
      <c r="N78" s="109" t="s">
        <v>302</v>
      </c>
      <c r="O78" s="2" t="s">
        <v>366</v>
      </c>
      <c r="P78" s="109" t="s">
        <v>322</v>
      </c>
      <c r="Q78" s="2" t="s">
        <v>364</v>
      </c>
      <c r="R78" s="129" t="s">
        <v>292</v>
      </c>
      <c r="S78" s="2" t="s">
        <v>375</v>
      </c>
      <c r="T78" s="2" t="s">
        <v>372</v>
      </c>
      <c r="U78" s="2" t="s">
        <v>437</v>
      </c>
      <c r="V78" s="2" t="s">
        <v>379</v>
      </c>
      <c r="W78" s="2" t="s">
        <v>377</v>
      </c>
    </row>
    <row r="79" spans="2:23" x14ac:dyDescent="0.2">
      <c r="B79" s="221"/>
      <c r="C79" s="97" t="str">
        <f t="shared" si="1"/>
        <v>01700420</v>
      </c>
      <c r="D79" s="129" t="s">
        <v>282</v>
      </c>
      <c r="E79" s="2" t="s">
        <v>269</v>
      </c>
      <c r="F79" s="2" t="s">
        <v>298</v>
      </c>
      <c r="G79" s="2" t="s">
        <v>278</v>
      </c>
      <c r="H79" s="2" t="s">
        <v>279</v>
      </c>
      <c r="I79" s="2" t="s">
        <v>273</v>
      </c>
      <c r="J79" s="2" t="s">
        <v>275</v>
      </c>
      <c r="K79" s="2" t="s">
        <v>274</v>
      </c>
      <c r="L79" s="109" t="s">
        <v>305</v>
      </c>
      <c r="M79" s="2" t="s">
        <v>362</v>
      </c>
      <c r="N79" s="109" t="s">
        <v>302</v>
      </c>
      <c r="O79" s="2" t="s">
        <v>366</v>
      </c>
      <c r="P79" s="109" t="s">
        <v>323</v>
      </c>
      <c r="Q79" s="2" t="s">
        <v>364</v>
      </c>
      <c r="R79" s="129" t="s">
        <v>292</v>
      </c>
      <c r="S79" s="2" t="s">
        <v>375</v>
      </c>
      <c r="T79" s="2" t="s">
        <v>372</v>
      </c>
      <c r="U79" s="2" t="s">
        <v>437</v>
      </c>
      <c r="V79" s="2" t="s">
        <v>379</v>
      </c>
      <c r="W79" s="2" t="s">
        <v>377</v>
      </c>
    </row>
    <row r="80" spans="2:23" x14ac:dyDescent="0.2">
      <c r="B80" s="221"/>
      <c r="C80" s="97" t="str">
        <f t="shared" si="1"/>
        <v>01700421</v>
      </c>
      <c r="D80" s="129" t="s">
        <v>282</v>
      </c>
      <c r="E80" s="2" t="s">
        <v>269</v>
      </c>
      <c r="F80" s="2" t="s">
        <v>298</v>
      </c>
      <c r="G80" s="2" t="s">
        <v>278</v>
      </c>
      <c r="H80" s="2" t="s">
        <v>279</v>
      </c>
      <c r="I80" s="2" t="s">
        <v>273</v>
      </c>
      <c r="J80" s="2" t="s">
        <v>275</v>
      </c>
      <c r="K80" s="2" t="s">
        <v>274</v>
      </c>
      <c r="L80" s="109" t="s">
        <v>305</v>
      </c>
      <c r="M80" s="2" t="s">
        <v>362</v>
      </c>
      <c r="N80" s="109" t="s">
        <v>302</v>
      </c>
      <c r="O80" s="2" t="s">
        <v>366</v>
      </c>
      <c r="P80" s="109" t="s">
        <v>324</v>
      </c>
      <c r="Q80" s="2" t="s">
        <v>364</v>
      </c>
      <c r="R80" s="129" t="s">
        <v>292</v>
      </c>
      <c r="S80" s="2" t="s">
        <v>375</v>
      </c>
      <c r="T80" s="2" t="s">
        <v>372</v>
      </c>
      <c r="U80" s="2" t="s">
        <v>437</v>
      </c>
      <c r="V80" s="2" t="s">
        <v>379</v>
      </c>
      <c r="W80" s="2" t="s">
        <v>377</v>
      </c>
    </row>
    <row r="81" spans="2:23" x14ac:dyDescent="0.2">
      <c r="B81" s="221"/>
      <c r="C81" s="97" t="str">
        <f t="shared" si="1"/>
        <v>01700422</v>
      </c>
      <c r="D81" s="129" t="s">
        <v>282</v>
      </c>
      <c r="E81" s="2" t="s">
        <v>269</v>
      </c>
      <c r="F81" s="2" t="s">
        <v>298</v>
      </c>
      <c r="G81" s="2" t="s">
        <v>278</v>
      </c>
      <c r="H81" s="2" t="s">
        <v>279</v>
      </c>
      <c r="I81" s="2" t="s">
        <v>273</v>
      </c>
      <c r="J81" s="2" t="s">
        <v>275</v>
      </c>
      <c r="K81" s="2" t="s">
        <v>274</v>
      </c>
      <c r="L81" s="109" t="s">
        <v>305</v>
      </c>
      <c r="M81" s="2" t="s">
        <v>362</v>
      </c>
      <c r="N81" s="109" t="s">
        <v>302</v>
      </c>
      <c r="O81" s="2" t="s">
        <v>366</v>
      </c>
      <c r="P81" s="109" t="s">
        <v>325</v>
      </c>
      <c r="Q81" s="2" t="s">
        <v>364</v>
      </c>
      <c r="R81" s="129" t="s">
        <v>292</v>
      </c>
      <c r="S81" s="2" t="s">
        <v>375</v>
      </c>
      <c r="T81" s="2" t="s">
        <v>372</v>
      </c>
      <c r="U81" s="2" t="s">
        <v>437</v>
      </c>
      <c r="V81" s="2" t="s">
        <v>379</v>
      </c>
      <c r="W81" s="2" t="s">
        <v>377</v>
      </c>
    </row>
    <row r="82" spans="2:23" x14ac:dyDescent="0.2">
      <c r="B82" s="221"/>
      <c r="C82" s="97" t="str">
        <f t="shared" si="1"/>
        <v>01700423</v>
      </c>
      <c r="D82" s="129" t="s">
        <v>282</v>
      </c>
      <c r="E82" s="2" t="s">
        <v>269</v>
      </c>
      <c r="F82" s="2" t="s">
        <v>298</v>
      </c>
      <c r="G82" s="2" t="s">
        <v>278</v>
      </c>
      <c r="H82" s="2" t="s">
        <v>279</v>
      </c>
      <c r="I82" s="2" t="s">
        <v>273</v>
      </c>
      <c r="J82" s="2" t="s">
        <v>275</v>
      </c>
      <c r="K82" s="2" t="s">
        <v>274</v>
      </c>
      <c r="L82" s="109" t="s">
        <v>305</v>
      </c>
      <c r="M82" s="2" t="s">
        <v>362</v>
      </c>
      <c r="N82" s="109" t="s">
        <v>302</v>
      </c>
      <c r="O82" s="2" t="s">
        <v>366</v>
      </c>
      <c r="P82" s="109" t="s">
        <v>326</v>
      </c>
      <c r="Q82" s="2" t="s">
        <v>364</v>
      </c>
      <c r="R82" s="129" t="s">
        <v>292</v>
      </c>
      <c r="S82" s="2" t="s">
        <v>375</v>
      </c>
      <c r="T82" s="2" t="s">
        <v>372</v>
      </c>
      <c r="U82" s="2" t="s">
        <v>437</v>
      </c>
      <c r="V82" s="2" t="s">
        <v>379</v>
      </c>
      <c r="W82" s="2" t="s">
        <v>377</v>
      </c>
    </row>
    <row r="83" spans="2:23" x14ac:dyDescent="0.2">
      <c r="B83" s="221"/>
      <c r="C83" s="97" t="str">
        <f t="shared" si="1"/>
        <v>01700424</v>
      </c>
      <c r="D83" s="129" t="s">
        <v>282</v>
      </c>
      <c r="E83" s="2" t="s">
        <v>269</v>
      </c>
      <c r="F83" s="2" t="s">
        <v>298</v>
      </c>
      <c r="G83" s="2" t="s">
        <v>278</v>
      </c>
      <c r="H83" s="2" t="s">
        <v>279</v>
      </c>
      <c r="I83" s="2" t="s">
        <v>273</v>
      </c>
      <c r="J83" s="2" t="s">
        <v>275</v>
      </c>
      <c r="K83" s="2" t="s">
        <v>274</v>
      </c>
      <c r="L83" s="109" t="s">
        <v>305</v>
      </c>
      <c r="M83" s="2" t="s">
        <v>362</v>
      </c>
      <c r="N83" s="109" t="s">
        <v>302</v>
      </c>
      <c r="O83" s="2" t="s">
        <v>366</v>
      </c>
      <c r="P83" s="109" t="s">
        <v>327</v>
      </c>
      <c r="Q83" s="2" t="s">
        <v>364</v>
      </c>
      <c r="R83" s="129" t="s">
        <v>292</v>
      </c>
      <c r="S83" s="2" t="s">
        <v>375</v>
      </c>
      <c r="T83" s="2" t="s">
        <v>372</v>
      </c>
      <c r="U83" s="2" t="s">
        <v>437</v>
      </c>
      <c r="V83" s="2" t="s">
        <v>379</v>
      </c>
      <c r="W83" s="2" t="s">
        <v>377</v>
      </c>
    </row>
    <row r="84" spans="2:23" x14ac:dyDescent="0.2">
      <c r="B84" s="221"/>
      <c r="C84" s="97" t="str">
        <f t="shared" si="1"/>
        <v>01700425</v>
      </c>
      <c r="D84" s="129" t="s">
        <v>282</v>
      </c>
      <c r="E84" s="2" t="s">
        <v>269</v>
      </c>
      <c r="F84" s="2" t="s">
        <v>298</v>
      </c>
      <c r="G84" s="2" t="s">
        <v>278</v>
      </c>
      <c r="H84" s="2" t="s">
        <v>279</v>
      </c>
      <c r="I84" s="2" t="s">
        <v>273</v>
      </c>
      <c r="J84" s="2" t="s">
        <v>275</v>
      </c>
      <c r="K84" s="2" t="s">
        <v>274</v>
      </c>
      <c r="L84" s="109" t="s">
        <v>305</v>
      </c>
      <c r="M84" s="2" t="s">
        <v>362</v>
      </c>
      <c r="N84" s="109" t="s">
        <v>302</v>
      </c>
      <c r="O84" s="2" t="s">
        <v>366</v>
      </c>
      <c r="P84" s="109" t="s">
        <v>328</v>
      </c>
      <c r="Q84" s="2" t="s">
        <v>364</v>
      </c>
      <c r="R84" s="129" t="s">
        <v>292</v>
      </c>
      <c r="S84" s="2" t="s">
        <v>375</v>
      </c>
      <c r="T84" s="2" t="s">
        <v>372</v>
      </c>
      <c r="U84" s="2" t="s">
        <v>437</v>
      </c>
      <c r="V84" s="2" t="s">
        <v>379</v>
      </c>
      <c r="W84" s="2" t="s">
        <v>377</v>
      </c>
    </row>
    <row r="85" spans="2:23" x14ac:dyDescent="0.2">
      <c r="B85" s="221"/>
      <c r="C85" s="97" t="str">
        <f t="shared" si="1"/>
        <v>01700426</v>
      </c>
      <c r="D85" s="129" t="s">
        <v>282</v>
      </c>
      <c r="E85" s="2" t="s">
        <v>269</v>
      </c>
      <c r="F85" s="2" t="s">
        <v>298</v>
      </c>
      <c r="G85" s="2" t="s">
        <v>278</v>
      </c>
      <c r="H85" s="2" t="s">
        <v>279</v>
      </c>
      <c r="I85" s="2" t="s">
        <v>273</v>
      </c>
      <c r="J85" s="2" t="s">
        <v>275</v>
      </c>
      <c r="K85" s="2" t="s">
        <v>274</v>
      </c>
      <c r="L85" s="109" t="s">
        <v>305</v>
      </c>
      <c r="M85" s="2" t="s">
        <v>362</v>
      </c>
      <c r="N85" s="109" t="s">
        <v>302</v>
      </c>
      <c r="O85" s="2" t="s">
        <v>366</v>
      </c>
      <c r="P85" s="109" t="s">
        <v>329</v>
      </c>
      <c r="Q85" s="2" t="s">
        <v>364</v>
      </c>
      <c r="R85" s="129" t="s">
        <v>292</v>
      </c>
      <c r="S85" s="2" t="s">
        <v>375</v>
      </c>
      <c r="T85" s="2" t="s">
        <v>372</v>
      </c>
      <c r="U85" s="2" t="s">
        <v>437</v>
      </c>
      <c r="V85" s="2" t="s">
        <v>379</v>
      </c>
      <c r="W85" s="2" t="s">
        <v>377</v>
      </c>
    </row>
    <row r="86" spans="2:23" s="113" customFormat="1" ht="13.5" thickBot="1" x14ac:dyDescent="0.25">
      <c r="B86" s="221"/>
      <c r="C86" s="111" t="str">
        <f t="shared" si="1"/>
        <v>01700427</v>
      </c>
      <c r="D86" s="130" t="s">
        <v>282</v>
      </c>
      <c r="E86" s="112" t="s">
        <v>269</v>
      </c>
      <c r="F86" s="112" t="s">
        <v>298</v>
      </c>
      <c r="G86" s="112" t="s">
        <v>278</v>
      </c>
      <c r="H86" s="112" t="s">
        <v>279</v>
      </c>
      <c r="I86" s="112" t="s">
        <v>273</v>
      </c>
      <c r="J86" s="112" t="s">
        <v>275</v>
      </c>
      <c r="K86" s="112" t="s">
        <v>274</v>
      </c>
      <c r="L86" s="126" t="s">
        <v>305</v>
      </c>
      <c r="M86" s="112" t="s">
        <v>362</v>
      </c>
      <c r="N86" s="126" t="s">
        <v>302</v>
      </c>
      <c r="O86" s="126" t="s">
        <v>366</v>
      </c>
      <c r="P86" s="126" t="s">
        <v>330</v>
      </c>
      <c r="Q86" s="112" t="s">
        <v>364</v>
      </c>
      <c r="R86" s="130" t="s">
        <v>292</v>
      </c>
      <c r="S86" s="112" t="s">
        <v>375</v>
      </c>
      <c r="T86" s="112" t="s">
        <v>372</v>
      </c>
      <c r="U86" s="112" t="s">
        <v>437</v>
      </c>
      <c r="V86" s="112" t="s">
        <v>379</v>
      </c>
      <c r="W86" s="112" t="s">
        <v>377</v>
      </c>
    </row>
    <row r="87" spans="2:23" x14ac:dyDescent="0.2">
      <c r="B87" s="221" t="s">
        <v>181</v>
      </c>
      <c r="C87" s="97" t="str">
        <f>E5</f>
        <v>01602760</v>
      </c>
      <c r="D87" s="129" t="s">
        <v>283</v>
      </c>
      <c r="E87" s="2" t="s">
        <v>269</v>
      </c>
      <c r="F87" s="2" t="s">
        <v>298</v>
      </c>
      <c r="G87" s="2" t="s">
        <v>280</v>
      </c>
      <c r="H87" s="2" t="s">
        <v>279</v>
      </c>
      <c r="I87" s="2" t="s">
        <v>273</v>
      </c>
      <c r="J87" s="2" t="s">
        <v>275</v>
      </c>
      <c r="K87" s="2" t="s">
        <v>274</v>
      </c>
      <c r="L87" s="109" t="s">
        <v>305</v>
      </c>
      <c r="M87" s="2" t="s">
        <v>362</v>
      </c>
      <c r="N87" s="109" t="s">
        <v>302</v>
      </c>
      <c r="O87" s="2" t="s">
        <v>366</v>
      </c>
      <c r="P87" s="109" t="s">
        <v>331</v>
      </c>
      <c r="Q87" s="2" t="s">
        <v>364</v>
      </c>
      <c r="R87" s="129" t="s">
        <v>293</v>
      </c>
      <c r="S87" s="2" t="s">
        <v>375</v>
      </c>
      <c r="T87" s="2" t="s">
        <v>372</v>
      </c>
      <c r="U87" s="2" t="s">
        <v>438</v>
      </c>
      <c r="V87" s="2" t="s">
        <v>379</v>
      </c>
      <c r="W87" s="2" t="s">
        <v>377</v>
      </c>
    </row>
    <row r="88" spans="2:23" x14ac:dyDescent="0.2">
      <c r="B88" s="221"/>
      <c r="C88" s="97" t="str">
        <f t="shared" ref="C88:C112" si="2">E6</f>
        <v>01602761</v>
      </c>
      <c r="D88" s="129" t="s">
        <v>283</v>
      </c>
      <c r="E88" s="2" t="s">
        <v>269</v>
      </c>
      <c r="F88" s="2" t="s">
        <v>298</v>
      </c>
      <c r="G88" s="2" t="s">
        <v>280</v>
      </c>
      <c r="H88" s="2" t="s">
        <v>279</v>
      </c>
      <c r="I88" s="2" t="s">
        <v>273</v>
      </c>
      <c r="J88" s="2" t="s">
        <v>275</v>
      </c>
      <c r="K88" s="2" t="s">
        <v>274</v>
      </c>
      <c r="L88" s="109" t="s">
        <v>305</v>
      </c>
      <c r="M88" s="2" t="s">
        <v>362</v>
      </c>
      <c r="N88" s="109" t="s">
        <v>302</v>
      </c>
      <c r="O88" s="2" t="s">
        <v>366</v>
      </c>
      <c r="P88" s="109" t="s">
        <v>332</v>
      </c>
      <c r="Q88" s="2" t="s">
        <v>364</v>
      </c>
      <c r="R88" s="129" t="s">
        <v>293</v>
      </c>
      <c r="S88" s="2" t="s">
        <v>375</v>
      </c>
      <c r="T88" s="2" t="s">
        <v>372</v>
      </c>
      <c r="U88" s="2" t="s">
        <v>438</v>
      </c>
      <c r="V88" s="2" t="s">
        <v>379</v>
      </c>
      <c r="W88" s="2" t="s">
        <v>377</v>
      </c>
    </row>
    <row r="89" spans="2:23" x14ac:dyDescent="0.2">
      <c r="B89" s="221"/>
      <c r="C89" s="97" t="str">
        <f t="shared" si="2"/>
        <v>01602762</v>
      </c>
      <c r="D89" s="129" t="s">
        <v>283</v>
      </c>
      <c r="E89" s="2" t="s">
        <v>269</v>
      </c>
      <c r="F89" s="2" t="s">
        <v>298</v>
      </c>
      <c r="G89" s="2" t="s">
        <v>280</v>
      </c>
      <c r="H89" s="2" t="s">
        <v>279</v>
      </c>
      <c r="I89" s="2" t="s">
        <v>273</v>
      </c>
      <c r="J89" s="2" t="s">
        <v>275</v>
      </c>
      <c r="K89" s="2" t="s">
        <v>274</v>
      </c>
      <c r="L89" s="109" t="s">
        <v>305</v>
      </c>
      <c r="M89" s="2" t="s">
        <v>362</v>
      </c>
      <c r="N89" s="109" t="s">
        <v>302</v>
      </c>
      <c r="O89" s="2" t="s">
        <v>366</v>
      </c>
      <c r="P89" s="109" t="s">
        <v>333</v>
      </c>
      <c r="Q89" s="2" t="s">
        <v>364</v>
      </c>
      <c r="R89" s="129" t="s">
        <v>293</v>
      </c>
      <c r="S89" s="2" t="s">
        <v>375</v>
      </c>
      <c r="T89" s="2" t="s">
        <v>372</v>
      </c>
      <c r="U89" s="2" t="s">
        <v>438</v>
      </c>
      <c r="V89" s="2" t="s">
        <v>379</v>
      </c>
      <c r="W89" s="2" t="s">
        <v>377</v>
      </c>
    </row>
    <row r="90" spans="2:23" x14ac:dyDescent="0.2">
      <c r="B90" s="221"/>
      <c r="C90" s="97" t="str">
        <f t="shared" si="2"/>
        <v>01602763</v>
      </c>
      <c r="D90" s="129" t="s">
        <v>283</v>
      </c>
      <c r="E90" s="2" t="s">
        <v>269</v>
      </c>
      <c r="F90" s="2" t="s">
        <v>298</v>
      </c>
      <c r="G90" s="2" t="s">
        <v>280</v>
      </c>
      <c r="H90" s="2" t="s">
        <v>279</v>
      </c>
      <c r="I90" s="2" t="s">
        <v>273</v>
      </c>
      <c r="J90" s="2" t="s">
        <v>275</v>
      </c>
      <c r="K90" s="2" t="s">
        <v>274</v>
      </c>
      <c r="L90" s="109" t="s">
        <v>305</v>
      </c>
      <c r="M90" s="2" t="s">
        <v>362</v>
      </c>
      <c r="N90" s="109" t="s">
        <v>302</v>
      </c>
      <c r="O90" s="2" t="s">
        <v>366</v>
      </c>
      <c r="P90" s="109" t="s">
        <v>334</v>
      </c>
      <c r="Q90" s="2" t="s">
        <v>364</v>
      </c>
      <c r="R90" s="129" t="s">
        <v>293</v>
      </c>
      <c r="S90" s="2" t="s">
        <v>375</v>
      </c>
      <c r="T90" s="2" t="s">
        <v>372</v>
      </c>
      <c r="U90" s="2" t="s">
        <v>438</v>
      </c>
      <c r="V90" s="2" t="s">
        <v>379</v>
      </c>
      <c r="W90" s="2" t="s">
        <v>377</v>
      </c>
    </row>
    <row r="91" spans="2:23" x14ac:dyDescent="0.2">
      <c r="B91" s="221"/>
      <c r="C91" s="97" t="str">
        <f t="shared" si="2"/>
        <v>01602764</v>
      </c>
      <c r="D91" s="129" t="s">
        <v>283</v>
      </c>
      <c r="E91" s="2" t="s">
        <v>269</v>
      </c>
      <c r="F91" s="2" t="s">
        <v>298</v>
      </c>
      <c r="G91" s="2" t="s">
        <v>280</v>
      </c>
      <c r="H91" s="2" t="s">
        <v>279</v>
      </c>
      <c r="I91" s="2" t="s">
        <v>273</v>
      </c>
      <c r="J91" s="2" t="s">
        <v>275</v>
      </c>
      <c r="K91" s="2" t="s">
        <v>274</v>
      </c>
      <c r="L91" s="109" t="s">
        <v>305</v>
      </c>
      <c r="M91" s="2" t="s">
        <v>362</v>
      </c>
      <c r="N91" s="109" t="s">
        <v>302</v>
      </c>
      <c r="O91" s="2" t="s">
        <v>366</v>
      </c>
      <c r="P91" s="109" t="s">
        <v>335</v>
      </c>
      <c r="Q91" s="2" t="s">
        <v>364</v>
      </c>
      <c r="R91" s="129" t="s">
        <v>293</v>
      </c>
      <c r="S91" s="2" t="s">
        <v>375</v>
      </c>
      <c r="T91" s="2" t="s">
        <v>372</v>
      </c>
      <c r="U91" s="2" t="s">
        <v>438</v>
      </c>
      <c r="V91" s="2" t="s">
        <v>379</v>
      </c>
      <c r="W91" s="2" t="s">
        <v>377</v>
      </c>
    </row>
    <row r="92" spans="2:23" x14ac:dyDescent="0.2">
      <c r="B92" s="221"/>
      <c r="C92" s="97" t="str">
        <f t="shared" si="2"/>
        <v>01602765</v>
      </c>
      <c r="D92" s="129" t="s">
        <v>283</v>
      </c>
      <c r="E92" s="2" t="s">
        <v>269</v>
      </c>
      <c r="F92" s="2" t="s">
        <v>298</v>
      </c>
      <c r="G92" s="2" t="s">
        <v>280</v>
      </c>
      <c r="H92" s="2" t="s">
        <v>279</v>
      </c>
      <c r="I92" s="2" t="s">
        <v>273</v>
      </c>
      <c r="J92" s="2" t="s">
        <v>275</v>
      </c>
      <c r="K92" s="2" t="s">
        <v>274</v>
      </c>
      <c r="L92" s="109" t="s">
        <v>305</v>
      </c>
      <c r="M92" s="2" t="s">
        <v>362</v>
      </c>
      <c r="N92" s="109" t="s">
        <v>302</v>
      </c>
      <c r="O92" s="2" t="s">
        <v>366</v>
      </c>
      <c r="P92" s="109" t="s">
        <v>336</v>
      </c>
      <c r="Q92" s="2" t="s">
        <v>364</v>
      </c>
      <c r="R92" s="129" t="s">
        <v>293</v>
      </c>
      <c r="S92" s="2" t="s">
        <v>375</v>
      </c>
      <c r="T92" s="2" t="s">
        <v>372</v>
      </c>
      <c r="U92" s="2" t="s">
        <v>438</v>
      </c>
      <c r="V92" s="2" t="s">
        <v>379</v>
      </c>
      <c r="W92" s="2" t="s">
        <v>377</v>
      </c>
    </row>
    <row r="93" spans="2:23" x14ac:dyDescent="0.2">
      <c r="B93" s="221"/>
      <c r="C93" s="97" t="str">
        <f t="shared" si="2"/>
        <v>01602766</v>
      </c>
      <c r="D93" s="129" t="s">
        <v>283</v>
      </c>
      <c r="E93" s="2" t="s">
        <v>269</v>
      </c>
      <c r="F93" s="2" t="s">
        <v>298</v>
      </c>
      <c r="G93" s="2" t="s">
        <v>280</v>
      </c>
      <c r="H93" s="2" t="s">
        <v>279</v>
      </c>
      <c r="I93" s="2" t="s">
        <v>273</v>
      </c>
      <c r="J93" s="2" t="s">
        <v>275</v>
      </c>
      <c r="K93" s="2" t="s">
        <v>274</v>
      </c>
      <c r="L93" s="109" t="s">
        <v>305</v>
      </c>
      <c r="M93" s="2" t="s">
        <v>362</v>
      </c>
      <c r="N93" s="109" t="s">
        <v>302</v>
      </c>
      <c r="O93" s="2" t="s">
        <v>366</v>
      </c>
      <c r="P93" s="109" t="s">
        <v>337</v>
      </c>
      <c r="Q93" s="2" t="s">
        <v>364</v>
      </c>
      <c r="R93" s="129" t="s">
        <v>293</v>
      </c>
      <c r="S93" s="2" t="s">
        <v>375</v>
      </c>
      <c r="T93" s="2" t="s">
        <v>372</v>
      </c>
      <c r="U93" s="2" t="s">
        <v>438</v>
      </c>
      <c r="V93" s="2" t="s">
        <v>379</v>
      </c>
      <c r="W93" s="2" t="s">
        <v>377</v>
      </c>
    </row>
    <row r="94" spans="2:23" ht="13.5" thickBot="1" x14ac:dyDescent="0.25">
      <c r="B94" s="221"/>
      <c r="C94" s="97" t="str">
        <f t="shared" si="2"/>
        <v>01602797</v>
      </c>
      <c r="D94" s="129" t="s">
        <v>283</v>
      </c>
      <c r="E94" s="2" t="s">
        <v>269</v>
      </c>
      <c r="F94" s="2" t="s">
        <v>298</v>
      </c>
      <c r="G94" s="2" t="s">
        <v>280</v>
      </c>
      <c r="H94" s="2" t="s">
        <v>279</v>
      </c>
      <c r="I94" s="2" t="s">
        <v>273</v>
      </c>
      <c r="J94" s="2" t="s">
        <v>275</v>
      </c>
      <c r="K94" s="2" t="s">
        <v>274</v>
      </c>
      <c r="L94" s="109" t="s">
        <v>305</v>
      </c>
      <c r="M94" s="2" t="s">
        <v>362</v>
      </c>
      <c r="N94" s="109" t="s">
        <v>302</v>
      </c>
      <c r="O94" s="126" t="s">
        <v>366</v>
      </c>
      <c r="P94" s="109" t="s">
        <v>338</v>
      </c>
      <c r="Q94" s="2" t="s">
        <v>364</v>
      </c>
      <c r="R94" s="129" t="s">
        <v>293</v>
      </c>
      <c r="S94" s="2" t="s">
        <v>375</v>
      </c>
      <c r="T94" s="2" t="s">
        <v>372</v>
      </c>
      <c r="U94" s="2" t="s">
        <v>438</v>
      </c>
      <c r="V94" s="2" t="s">
        <v>379</v>
      </c>
      <c r="W94" s="2" t="s">
        <v>377</v>
      </c>
    </row>
    <row r="95" spans="2:23" x14ac:dyDescent="0.2">
      <c r="B95" s="221"/>
      <c r="C95" s="97" t="str">
        <f t="shared" si="2"/>
        <v>01602798</v>
      </c>
      <c r="D95" s="129" t="s">
        <v>283</v>
      </c>
      <c r="E95" s="2" t="s">
        <v>269</v>
      </c>
      <c r="F95" s="2" t="s">
        <v>298</v>
      </c>
      <c r="G95" s="2" t="s">
        <v>280</v>
      </c>
      <c r="H95" s="2" t="s">
        <v>279</v>
      </c>
      <c r="I95" s="2" t="s">
        <v>273</v>
      </c>
      <c r="J95" s="2" t="s">
        <v>275</v>
      </c>
      <c r="K95" s="2" t="s">
        <v>274</v>
      </c>
      <c r="L95" s="109" t="s">
        <v>305</v>
      </c>
      <c r="M95" s="2" t="s">
        <v>362</v>
      </c>
      <c r="N95" s="109" t="s">
        <v>302</v>
      </c>
      <c r="O95" s="2" t="s">
        <v>366</v>
      </c>
      <c r="P95" s="109" t="s">
        <v>339</v>
      </c>
      <c r="Q95" s="2" t="s">
        <v>364</v>
      </c>
      <c r="R95" s="129" t="s">
        <v>293</v>
      </c>
      <c r="S95" s="2" t="s">
        <v>375</v>
      </c>
      <c r="T95" s="2" t="s">
        <v>372</v>
      </c>
      <c r="U95" s="2" t="s">
        <v>438</v>
      </c>
      <c r="V95" s="2" t="s">
        <v>379</v>
      </c>
      <c r="W95" s="2" t="s">
        <v>377</v>
      </c>
    </row>
    <row r="96" spans="2:23" x14ac:dyDescent="0.2">
      <c r="B96" s="221"/>
      <c r="C96" s="97" t="str">
        <f t="shared" si="2"/>
        <v>01602799</v>
      </c>
      <c r="D96" s="129" t="s">
        <v>283</v>
      </c>
      <c r="E96" s="2" t="s">
        <v>269</v>
      </c>
      <c r="F96" s="2" t="s">
        <v>298</v>
      </c>
      <c r="G96" s="2" t="s">
        <v>280</v>
      </c>
      <c r="H96" s="2" t="s">
        <v>279</v>
      </c>
      <c r="I96" s="2" t="s">
        <v>273</v>
      </c>
      <c r="J96" s="2" t="s">
        <v>275</v>
      </c>
      <c r="K96" s="2" t="s">
        <v>274</v>
      </c>
      <c r="L96" s="109" t="s">
        <v>305</v>
      </c>
      <c r="M96" s="2" t="s">
        <v>362</v>
      </c>
      <c r="N96" s="109" t="s">
        <v>302</v>
      </c>
      <c r="O96" s="2" t="s">
        <v>366</v>
      </c>
      <c r="P96" s="109" t="s">
        <v>340</v>
      </c>
      <c r="Q96" s="2" t="s">
        <v>364</v>
      </c>
      <c r="R96" s="129" t="s">
        <v>293</v>
      </c>
      <c r="S96" s="2" t="s">
        <v>375</v>
      </c>
      <c r="T96" s="2" t="s">
        <v>372</v>
      </c>
      <c r="U96" s="2" t="s">
        <v>438</v>
      </c>
      <c r="V96" s="2" t="s">
        <v>379</v>
      </c>
      <c r="W96" s="2" t="s">
        <v>377</v>
      </c>
    </row>
    <row r="97" spans="2:23" x14ac:dyDescent="0.2">
      <c r="B97" s="221"/>
      <c r="C97" s="97" t="str">
        <f t="shared" si="2"/>
        <v>01602800</v>
      </c>
      <c r="D97" s="129" t="s">
        <v>283</v>
      </c>
      <c r="E97" s="2" t="s">
        <v>269</v>
      </c>
      <c r="F97" s="2" t="s">
        <v>298</v>
      </c>
      <c r="G97" s="2" t="s">
        <v>280</v>
      </c>
      <c r="H97" s="2" t="s">
        <v>279</v>
      </c>
      <c r="I97" s="2" t="s">
        <v>273</v>
      </c>
      <c r="J97" s="2" t="s">
        <v>275</v>
      </c>
      <c r="K97" s="2" t="s">
        <v>274</v>
      </c>
      <c r="L97" s="109" t="s">
        <v>305</v>
      </c>
      <c r="M97" s="2" t="s">
        <v>362</v>
      </c>
      <c r="N97" s="109" t="s">
        <v>302</v>
      </c>
      <c r="O97" s="2" t="s">
        <v>366</v>
      </c>
      <c r="P97" s="109" t="s">
        <v>341</v>
      </c>
      <c r="Q97" s="2" t="s">
        <v>364</v>
      </c>
      <c r="R97" s="129" t="s">
        <v>293</v>
      </c>
      <c r="S97" s="2" t="s">
        <v>375</v>
      </c>
      <c r="T97" s="2" t="s">
        <v>372</v>
      </c>
      <c r="U97" s="2" t="s">
        <v>438</v>
      </c>
      <c r="V97" s="2" t="s">
        <v>379</v>
      </c>
      <c r="W97" s="2" t="s">
        <v>377</v>
      </c>
    </row>
    <row r="98" spans="2:23" x14ac:dyDescent="0.2">
      <c r="B98" s="221"/>
      <c r="C98" s="97" t="str">
        <f t="shared" si="2"/>
        <v>01602801</v>
      </c>
      <c r="D98" s="129" t="s">
        <v>283</v>
      </c>
      <c r="E98" s="2" t="s">
        <v>269</v>
      </c>
      <c r="F98" s="2" t="s">
        <v>298</v>
      </c>
      <c r="G98" s="2" t="s">
        <v>280</v>
      </c>
      <c r="H98" s="2" t="s">
        <v>279</v>
      </c>
      <c r="I98" s="2" t="s">
        <v>273</v>
      </c>
      <c r="J98" s="2" t="s">
        <v>275</v>
      </c>
      <c r="K98" s="2" t="s">
        <v>274</v>
      </c>
      <c r="L98" s="109" t="s">
        <v>305</v>
      </c>
      <c r="M98" s="2" t="s">
        <v>362</v>
      </c>
      <c r="N98" s="109" t="s">
        <v>302</v>
      </c>
      <c r="O98" s="2" t="s">
        <v>366</v>
      </c>
      <c r="P98" s="109" t="s">
        <v>342</v>
      </c>
      <c r="Q98" s="2" t="s">
        <v>364</v>
      </c>
      <c r="R98" s="129" t="s">
        <v>293</v>
      </c>
      <c r="S98" s="2" t="s">
        <v>375</v>
      </c>
      <c r="T98" s="2" t="s">
        <v>372</v>
      </c>
      <c r="U98" s="2" t="s">
        <v>438</v>
      </c>
      <c r="V98" s="2" t="s">
        <v>379</v>
      </c>
      <c r="W98" s="2" t="s">
        <v>377</v>
      </c>
    </row>
    <row r="99" spans="2:23" x14ac:dyDescent="0.2">
      <c r="B99" s="221"/>
      <c r="C99" s="97" t="str">
        <f t="shared" si="2"/>
        <v>01602802</v>
      </c>
      <c r="D99" s="129" t="s">
        <v>283</v>
      </c>
      <c r="E99" s="2" t="s">
        <v>269</v>
      </c>
      <c r="F99" s="2" t="s">
        <v>298</v>
      </c>
      <c r="G99" s="2" t="s">
        <v>280</v>
      </c>
      <c r="H99" s="2" t="s">
        <v>279</v>
      </c>
      <c r="I99" s="2" t="s">
        <v>273</v>
      </c>
      <c r="J99" s="2" t="s">
        <v>275</v>
      </c>
      <c r="K99" s="2" t="s">
        <v>274</v>
      </c>
      <c r="L99" s="109" t="s">
        <v>305</v>
      </c>
      <c r="M99" s="2" t="s">
        <v>362</v>
      </c>
      <c r="N99" s="109" t="s">
        <v>302</v>
      </c>
      <c r="O99" s="2" t="s">
        <v>366</v>
      </c>
      <c r="P99" s="109" t="s">
        <v>343</v>
      </c>
      <c r="Q99" s="2" t="s">
        <v>364</v>
      </c>
      <c r="R99" s="129" t="s">
        <v>293</v>
      </c>
      <c r="S99" s="2" t="s">
        <v>375</v>
      </c>
      <c r="T99" s="2" t="s">
        <v>372</v>
      </c>
      <c r="U99" s="2" t="s">
        <v>438</v>
      </c>
      <c r="V99" s="2" t="s">
        <v>379</v>
      </c>
      <c r="W99" s="2" t="s">
        <v>377</v>
      </c>
    </row>
    <row r="100" spans="2:23" x14ac:dyDescent="0.2">
      <c r="B100" s="221"/>
      <c r="C100" s="97" t="str">
        <f t="shared" si="2"/>
        <v>01602803</v>
      </c>
      <c r="D100" s="129" t="s">
        <v>283</v>
      </c>
      <c r="E100" s="2" t="s">
        <v>269</v>
      </c>
      <c r="F100" s="2" t="s">
        <v>298</v>
      </c>
      <c r="G100" s="2" t="s">
        <v>280</v>
      </c>
      <c r="H100" s="2" t="s">
        <v>279</v>
      </c>
      <c r="I100" s="2" t="s">
        <v>273</v>
      </c>
      <c r="J100" s="2" t="s">
        <v>275</v>
      </c>
      <c r="K100" s="2" t="s">
        <v>274</v>
      </c>
      <c r="L100" s="109" t="s">
        <v>305</v>
      </c>
      <c r="M100" s="2" t="s">
        <v>362</v>
      </c>
      <c r="N100" s="109" t="s">
        <v>302</v>
      </c>
      <c r="O100" s="2" t="s">
        <v>366</v>
      </c>
      <c r="P100" s="109" t="s">
        <v>344</v>
      </c>
      <c r="Q100" s="2" t="s">
        <v>364</v>
      </c>
      <c r="R100" s="129" t="s">
        <v>293</v>
      </c>
      <c r="S100" s="2" t="s">
        <v>375</v>
      </c>
      <c r="T100" s="2" t="s">
        <v>372</v>
      </c>
      <c r="U100" s="2" t="s">
        <v>438</v>
      </c>
      <c r="V100" s="2" t="s">
        <v>379</v>
      </c>
      <c r="W100" s="2" t="s">
        <v>377</v>
      </c>
    </row>
    <row r="101" spans="2:23" x14ac:dyDescent="0.2">
      <c r="B101" s="221"/>
      <c r="C101" s="97" t="str">
        <f t="shared" si="2"/>
        <v>01602804</v>
      </c>
      <c r="D101" s="129" t="s">
        <v>283</v>
      </c>
      <c r="E101" s="2" t="s">
        <v>269</v>
      </c>
      <c r="F101" s="2" t="s">
        <v>298</v>
      </c>
      <c r="G101" s="2" t="s">
        <v>280</v>
      </c>
      <c r="H101" s="2" t="s">
        <v>279</v>
      </c>
      <c r="I101" s="2" t="s">
        <v>273</v>
      </c>
      <c r="J101" s="2" t="s">
        <v>275</v>
      </c>
      <c r="K101" s="2" t="s">
        <v>274</v>
      </c>
      <c r="L101" s="109" t="s">
        <v>305</v>
      </c>
      <c r="M101" s="2" t="s">
        <v>362</v>
      </c>
      <c r="N101" s="109" t="s">
        <v>302</v>
      </c>
      <c r="O101" s="2" t="s">
        <v>366</v>
      </c>
      <c r="P101" s="109" t="s">
        <v>345</v>
      </c>
      <c r="Q101" s="2" t="s">
        <v>364</v>
      </c>
      <c r="R101" s="129" t="s">
        <v>293</v>
      </c>
      <c r="S101" s="2" t="s">
        <v>375</v>
      </c>
      <c r="T101" s="2" t="s">
        <v>372</v>
      </c>
      <c r="U101" s="2" t="s">
        <v>438</v>
      </c>
      <c r="V101" s="2" t="s">
        <v>379</v>
      </c>
      <c r="W101" s="2" t="s">
        <v>377</v>
      </c>
    </row>
    <row r="102" spans="2:23" x14ac:dyDescent="0.2">
      <c r="B102" s="221"/>
      <c r="C102" s="97" t="str">
        <f t="shared" si="2"/>
        <v>01602805</v>
      </c>
      <c r="D102" s="129" t="s">
        <v>283</v>
      </c>
      <c r="E102" s="2" t="s">
        <v>269</v>
      </c>
      <c r="F102" s="2" t="s">
        <v>298</v>
      </c>
      <c r="G102" s="2" t="s">
        <v>280</v>
      </c>
      <c r="H102" s="2" t="s">
        <v>279</v>
      </c>
      <c r="I102" s="2" t="s">
        <v>273</v>
      </c>
      <c r="J102" s="2" t="s">
        <v>275</v>
      </c>
      <c r="K102" s="2" t="s">
        <v>274</v>
      </c>
      <c r="L102" s="109" t="s">
        <v>305</v>
      </c>
      <c r="M102" s="2" t="s">
        <v>362</v>
      </c>
      <c r="N102" s="109" t="s">
        <v>302</v>
      </c>
      <c r="O102" s="2" t="s">
        <v>366</v>
      </c>
      <c r="P102" s="109" t="s">
        <v>346</v>
      </c>
      <c r="Q102" s="2" t="s">
        <v>364</v>
      </c>
      <c r="R102" s="129" t="s">
        <v>293</v>
      </c>
      <c r="S102" s="2" t="s">
        <v>375</v>
      </c>
      <c r="T102" s="2" t="s">
        <v>372</v>
      </c>
      <c r="U102" s="2" t="s">
        <v>438</v>
      </c>
      <c r="V102" s="2" t="s">
        <v>379</v>
      </c>
      <c r="W102" s="2" t="s">
        <v>377</v>
      </c>
    </row>
    <row r="103" spans="2:23" x14ac:dyDescent="0.2">
      <c r="B103" s="221"/>
      <c r="C103" s="97" t="str">
        <f t="shared" si="2"/>
        <v>01602806</v>
      </c>
      <c r="D103" s="129" t="s">
        <v>283</v>
      </c>
      <c r="E103" s="2" t="s">
        <v>269</v>
      </c>
      <c r="F103" s="2" t="s">
        <v>298</v>
      </c>
      <c r="G103" s="2" t="s">
        <v>280</v>
      </c>
      <c r="H103" s="2" t="s">
        <v>279</v>
      </c>
      <c r="I103" s="2" t="s">
        <v>273</v>
      </c>
      <c r="J103" s="2" t="s">
        <v>275</v>
      </c>
      <c r="K103" s="2" t="s">
        <v>274</v>
      </c>
      <c r="L103" s="109" t="s">
        <v>305</v>
      </c>
      <c r="M103" s="2" t="s">
        <v>362</v>
      </c>
      <c r="N103" s="109" t="s">
        <v>302</v>
      </c>
      <c r="O103" s="2" t="s">
        <v>366</v>
      </c>
      <c r="P103" s="109" t="s">
        <v>347</v>
      </c>
      <c r="Q103" s="2" t="s">
        <v>364</v>
      </c>
      <c r="R103" s="129" t="s">
        <v>293</v>
      </c>
      <c r="S103" s="2" t="s">
        <v>375</v>
      </c>
      <c r="T103" s="2" t="s">
        <v>372</v>
      </c>
      <c r="U103" s="2" t="s">
        <v>438</v>
      </c>
      <c r="V103" s="2" t="s">
        <v>379</v>
      </c>
      <c r="W103" s="2" t="s">
        <v>377</v>
      </c>
    </row>
    <row r="104" spans="2:23" x14ac:dyDescent="0.2">
      <c r="B104" s="221"/>
      <c r="C104" s="97" t="str">
        <f t="shared" si="2"/>
        <v>01602807</v>
      </c>
      <c r="D104" s="129" t="s">
        <v>283</v>
      </c>
      <c r="E104" s="2" t="s">
        <v>269</v>
      </c>
      <c r="F104" s="2" t="s">
        <v>298</v>
      </c>
      <c r="G104" s="2" t="s">
        <v>280</v>
      </c>
      <c r="H104" s="2" t="s">
        <v>279</v>
      </c>
      <c r="I104" s="2" t="s">
        <v>273</v>
      </c>
      <c r="J104" s="2" t="s">
        <v>275</v>
      </c>
      <c r="K104" s="2" t="s">
        <v>274</v>
      </c>
      <c r="L104" s="109" t="s">
        <v>305</v>
      </c>
      <c r="M104" s="2" t="s">
        <v>362</v>
      </c>
      <c r="N104" s="109" t="s">
        <v>302</v>
      </c>
      <c r="O104" s="2" t="s">
        <v>366</v>
      </c>
      <c r="P104" s="109" t="s">
        <v>348</v>
      </c>
      <c r="Q104" s="2" t="s">
        <v>364</v>
      </c>
      <c r="R104" s="129" t="s">
        <v>293</v>
      </c>
      <c r="S104" s="2" t="s">
        <v>375</v>
      </c>
      <c r="T104" s="2" t="s">
        <v>372</v>
      </c>
      <c r="U104" s="2" t="s">
        <v>438</v>
      </c>
      <c r="V104" s="2" t="s">
        <v>379</v>
      </c>
      <c r="W104" s="2" t="s">
        <v>377</v>
      </c>
    </row>
    <row r="105" spans="2:23" x14ac:dyDescent="0.2">
      <c r="B105" s="221"/>
      <c r="C105" s="97" t="str">
        <f t="shared" si="2"/>
        <v>01602808</v>
      </c>
      <c r="D105" s="129" t="s">
        <v>283</v>
      </c>
      <c r="E105" s="2" t="s">
        <v>269</v>
      </c>
      <c r="F105" s="2" t="s">
        <v>298</v>
      </c>
      <c r="G105" s="2" t="s">
        <v>280</v>
      </c>
      <c r="H105" s="2" t="s">
        <v>279</v>
      </c>
      <c r="I105" s="2" t="s">
        <v>273</v>
      </c>
      <c r="J105" s="2" t="s">
        <v>275</v>
      </c>
      <c r="K105" s="2" t="s">
        <v>274</v>
      </c>
      <c r="L105" s="109" t="s">
        <v>305</v>
      </c>
      <c r="M105" s="2" t="s">
        <v>362</v>
      </c>
      <c r="N105" s="109" t="s">
        <v>302</v>
      </c>
      <c r="O105" s="2" t="s">
        <v>366</v>
      </c>
      <c r="P105" s="109" t="s">
        <v>349</v>
      </c>
      <c r="Q105" s="2" t="s">
        <v>364</v>
      </c>
      <c r="R105" s="129" t="s">
        <v>293</v>
      </c>
      <c r="S105" s="2" t="s">
        <v>375</v>
      </c>
      <c r="T105" s="2" t="s">
        <v>372</v>
      </c>
      <c r="U105" s="2" t="s">
        <v>438</v>
      </c>
      <c r="V105" s="2" t="s">
        <v>379</v>
      </c>
      <c r="W105" s="2" t="s">
        <v>377</v>
      </c>
    </row>
    <row r="106" spans="2:23" x14ac:dyDescent="0.2">
      <c r="B106" s="221"/>
      <c r="C106" s="97" t="str">
        <f t="shared" si="2"/>
        <v>01602809</v>
      </c>
      <c r="D106" s="129" t="s">
        <v>283</v>
      </c>
      <c r="E106" s="2" t="s">
        <v>269</v>
      </c>
      <c r="F106" s="2" t="s">
        <v>298</v>
      </c>
      <c r="G106" s="2" t="s">
        <v>280</v>
      </c>
      <c r="H106" s="2" t="s">
        <v>279</v>
      </c>
      <c r="I106" s="2" t="s">
        <v>273</v>
      </c>
      <c r="J106" s="2" t="s">
        <v>275</v>
      </c>
      <c r="K106" s="2" t="s">
        <v>274</v>
      </c>
      <c r="L106" s="109" t="s">
        <v>305</v>
      </c>
      <c r="M106" s="2" t="s">
        <v>362</v>
      </c>
      <c r="N106" s="109" t="s">
        <v>302</v>
      </c>
      <c r="O106" s="2" t="s">
        <v>366</v>
      </c>
      <c r="P106" s="109" t="s">
        <v>350</v>
      </c>
      <c r="Q106" s="2" t="s">
        <v>364</v>
      </c>
      <c r="R106" s="129" t="s">
        <v>293</v>
      </c>
      <c r="S106" s="2" t="s">
        <v>375</v>
      </c>
      <c r="T106" s="2" t="s">
        <v>372</v>
      </c>
      <c r="U106" s="2" t="s">
        <v>438</v>
      </c>
      <c r="V106" s="2" t="s">
        <v>379</v>
      </c>
      <c r="W106" s="2" t="s">
        <v>377</v>
      </c>
    </row>
    <row r="107" spans="2:23" x14ac:dyDescent="0.2">
      <c r="B107" s="221"/>
      <c r="C107" s="97" t="str">
        <f t="shared" si="2"/>
        <v>01602810</v>
      </c>
      <c r="D107" s="129" t="s">
        <v>283</v>
      </c>
      <c r="E107" s="2" t="s">
        <v>269</v>
      </c>
      <c r="F107" s="2" t="s">
        <v>298</v>
      </c>
      <c r="G107" s="2" t="s">
        <v>280</v>
      </c>
      <c r="H107" s="2" t="s">
        <v>279</v>
      </c>
      <c r="I107" s="2" t="s">
        <v>273</v>
      </c>
      <c r="J107" s="2" t="s">
        <v>275</v>
      </c>
      <c r="K107" s="2" t="s">
        <v>274</v>
      </c>
      <c r="L107" s="109" t="s">
        <v>305</v>
      </c>
      <c r="M107" s="2" t="s">
        <v>362</v>
      </c>
      <c r="N107" s="109" t="s">
        <v>302</v>
      </c>
      <c r="O107" s="2" t="s">
        <v>366</v>
      </c>
      <c r="P107" s="109" t="s">
        <v>351</v>
      </c>
      <c r="Q107" s="2" t="s">
        <v>364</v>
      </c>
      <c r="R107" s="129" t="s">
        <v>293</v>
      </c>
      <c r="S107" s="2" t="s">
        <v>375</v>
      </c>
      <c r="T107" s="2" t="s">
        <v>372</v>
      </c>
      <c r="U107" s="2" t="s">
        <v>438</v>
      </c>
      <c r="V107" s="2" t="s">
        <v>379</v>
      </c>
      <c r="W107" s="2" t="s">
        <v>377</v>
      </c>
    </row>
    <row r="108" spans="2:23" x14ac:dyDescent="0.2">
      <c r="B108" s="221"/>
      <c r="C108" s="97" t="str">
        <f t="shared" si="2"/>
        <v>01602811</v>
      </c>
      <c r="D108" s="129" t="s">
        <v>283</v>
      </c>
      <c r="E108" s="2" t="s">
        <v>269</v>
      </c>
      <c r="F108" s="2" t="s">
        <v>298</v>
      </c>
      <c r="G108" s="2" t="s">
        <v>280</v>
      </c>
      <c r="H108" s="2" t="s">
        <v>279</v>
      </c>
      <c r="I108" s="2" t="s">
        <v>273</v>
      </c>
      <c r="J108" s="2" t="s">
        <v>275</v>
      </c>
      <c r="K108" s="2" t="s">
        <v>274</v>
      </c>
      <c r="L108" s="109" t="s">
        <v>305</v>
      </c>
      <c r="M108" s="2" t="s">
        <v>362</v>
      </c>
      <c r="N108" s="109" t="s">
        <v>302</v>
      </c>
      <c r="O108" s="2" t="s">
        <v>366</v>
      </c>
      <c r="P108" s="109" t="s">
        <v>352</v>
      </c>
      <c r="Q108" s="2" t="s">
        <v>364</v>
      </c>
      <c r="R108" s="129" t="s">
        <v>293</v>
      </c>
      <c r="S108" s="2" t="s">
        <v>375</v>
      </c>
      <c r="T108" s="2" t="s">
        <v>372</v>
      </c>
      <c r="U108" s="2" t="s">
        <v>438</v>
      </c>
      <c r="V108" s="2" t="s">
        <v>379</v>
      </c>
      <c r="W108" s="2" t="s">
        <v>377</v>
      </c>
    </row>
    <row r="109" spans="2:23" x14ac:dyDescent="0.2">
      <c r="B109" s="221"/>
      <c r="C109" s="97" t="str">
        <f t="shared" si="2"/>
        <v>01602812</v>
      </c>
      <c r="D109" s="129" t="s">
        <v>283</v>
      </c>
      <c r="E109" s="2" t="s">
        <v>269</v>
      </c>
      <c r="F109" s="2" t="s">
        <v>298</v>
      </c>
      <c r="G109" s="2" t="s">
        <v>280</v>
      </c>
      <c r="H109" s="2" t="s">
        <v>279</v>
      </c>
      <c r="I109" s="2" t="s">
        <v>273</v>
      </c>
      <c r="J109" s="2" t="s">
        <v>275</v>
      </c>
      <c r="K109" s="2" t="s">
        <v>274</v>
      </c>
      <c r="L109" s="109" t="s">
        <v>305</v>
      </c>
      <c r="M109" s="2" t="s">
        <v>362</v>
      </c>
      <c r="N109" s="109" t="s">
        <v>302</v>
      </c>
      <c r="O109" s="2" t="s">
        <v>366</v>
      </c>
      <c r="P109" s="109" t="s">
        <v>353</v>
      </c>
      <c r="Q109" s="2" t="s">
        <v>364</v>
      </c>
      <c r="R109" s="129" t="s">
        <v>293</v>
      </c>
      <c r="S109" s="2" t="s">
        <v>375</v>
      </c>
      <c r="T109" s="2" t="s">
        <v>372</v>
      </c>
      <c r="U109" s="2" t="s">
        <v>438</v>
      </c>
      <c r="V109" s="2" t="s">
        <v>379</v>
      </c>
      <c r="W109" s="2" t="s">
        <v>377</v>
      </c>
    </row>
    <row r="110" spans="2:23" x14ac:dyDescent="0.2">
      <c r="B110" s="221"/>
      <c r="C110" s="97" t="str">
        <f t="shared" si="2"/>
        <v>01602813</v>
      </c>
      <c r="D110" s="129" t="s">
        <v>283</v>
      </c>
      <c r="E110" s="2" t="s">
        <v>269</v>
      </c>
      <c r="F110" s="2" t="s">
        <v>298</v>
      </c>
      <c r="G110" s="2" t="s">
        <v>280</v>
      </c>
      <c r="H110" s="2" t="s">
        <v>279</v>
      </c>
      <c r="I110" s="2" t="s">
        <v>273</v>
      </c>
      <c r="J110" s="2" t="s">
        <v>275</v>
      </c>
      <c r="K110" s="2" t="s">
        <v>274</v>
      </c>
      <c r="L110" s="109" t="s">
        <v>305</v>
      </c>
      <c r="M110" s="2" t="s">
        <v>362</v>
      </c>
      <c r="N110" s="109" t="s">
        <v>302</v>
      </c>
      <c r="O110" s="2" t="s">
        <v>366</v>
      </c>
      <c r="P110" s="109" t="s">
        <v>354</v>
      </c>
      <c r="Q110" s="2" t="s">
        <v>364</v>
      </c>
      <c r="R110" s="129" t="s">
        <v>293</v>
      </c>
      <c r="S110" s="2" t="s">
        <v>375</v>
      </c>
      <c r="T110" s="2" t="s">
        <v>372</v>
      </c>
      <c r="U110" s="2" t="s">
        <v>438</v>
      </c>
      <c r="V110" s="2" t="s">
        <v>379</v>
      </c>
      <c r="W110" s="2" t="s">
        <v>377</v>
      </c>
    </row>
    <row r="111" spans="2:23" x14ac:dyDescent="0.2">
      <c r="B111" s="221"/>
      <c r="C111" s="97" t="str">
        <f t="shared" si="2"/>
        <v>01602814</v>
      </c>
      <c r="D111" s="129" t="s">
        <v>283</v>
      </c>
      <c r="E111" s="2" t="s">
        <v>269</v>
      </c>
      <c r="F111" s="2" t="s">
        <v>298</v>
      </c>
      <c r="G111" s="2" t="s">
        <v>280</v>
      </c>
      <c r="H111" s="2" t="s">
        <v>279</v>
      </c>
      <c r="I111" s="2" t="s">
        <v>273</v>
      </c>
      <c r="J111" s="2" t="s">
        <v>275</v>
      </c>
      <c r="K111" s="2" t="s">
        <v>274</v>
      </c>
      <c r="L111" s="109" t="s">
        <v>305</v>
      </c>
      <c r="M111" s="2" t="s">
        <v>362</v>
      </c>
      <c r="N111" s="109" t="s">
        <v>302</v>
      </c>
      <c r="O111" s="2" t="s">
        <v>366</v>
      </c>
      <c r="P111" s="109" t="s">
        <v>355</v>
      </c>
      <c r="Q111" s="2" t="s">
        <v>364</v>
      </c>
      <c r="R111" s="129" t="s">
        <v>293</v>
      </c>
      <c r="S111" s="2" t="s">
        <v>375</v>
      </c>
      <c r="T111" s="2" t="s">
        <v>372</v>
      </c>
      <c r="U111" s="2" t="s">
        <v>438</v>
      </c>
      <c r="V111" s="2" t="s">
        <v>379</v>
      </c>
      <c r="W111" s="2" t="s">
        <v>377</v>
      </c>
    </row>
    <row r="112" spans="2:23" s="113" customFormat="1" ht="13.5" thickBot="1" x14ac:dyDescent="0.25">
      <c r="B112" s="221"/>
      <c r="C112" s="111" t="str">
        <f t="shared" si="2"/>
        <v>01602815</v>
      </c>
      <c r="D112" s="130" t="s">
        <v>283</v>
      </c>
      <c r="E112" s="112" t="s">
        <v>269</v>
      </c>
      <c r="F112" s="112" t="s">
        <v>298</v>
      </c>
      <c r="G112" s="112" t="s">
        <v>280</v>
      </c>
      <c r="H112" s="112" t="s">
        <v>279</v>
      </c>
      <c r="I112" s="112" t="s">
        <v>273</v>
      </c>
      <c r="J112" s="112" t="s">
        <v>275</v>
      </c>
      <c r="K112" s="112" t="s">
        <v>274</v>
      </c>
      <c r="L112" s="126" t="s">
        <v>305</v>
      </c>
      <c r="M112" s="112" t="s">
        <v>362</v>
      </c>
      <c r="N112" s="126" t="s">
        <v>302</v>
      </c>
      <c r="O112" s="126" t="s">
        <v>366</v>
      </c>
      <c r="P112" s="126" t="s">
        <v>356</v>
      </c>
      <c r="Q112" s="112" t="s">
        <v>364</v>
      </c>
      <c r="R112" s="130" t="s">
        <v>293</v>
      </c>
      <c r="S112" s="112" t="s">
        <v>375</v>
      </c>
      <c r="T112" s="112" t="s">
        <v>372</v>
      </c>
      <c r="U112" s="2" t="s">
        <v>438</v>
      </c>
      <c r="V112" s="112" t="s">
        <v>379</v>
      </c>
      <c r="W112" s="112" t="s">
        <v>377</v>
      </c>
    </row>
    <row r="113" spans="2:23" x14ac:dyDescent="0.2">
      <c r="B113" s="221" t="s">
        <v>182</v>
      </c>
      <c r="C113" s="97" t="str">
        <f>F5</f>
        <v>01704526</v>
      </c>
      <c r="D113" s="129" t="s">
        <v>284</v>
      </c>
      <c r="E113" s="2" t="s">
        <v>269</v>
      </c>
      <c r="F113" s="2" t="s">
        <v>298</v>
      </c>
      <c r="G113" s="2" t="s">
        <v>281</v>
      </c>
      <c r="H113" s="2" t="s">
        <v>279</v>
      </c>
      <c r="I113" s="2" t="s">
        <v>273</v>
      </c>
      <c r="J113" s="2" t="s">
        <v>275</v>
      </c>
      <c r="K113" s="2" t="s">
        <v>274</v>
      </c>
      <c r="L113" s="129" t="s">
        <v>357</v>
      </c>
      <c r="M113" s="2" t="s">
        <v>363</v>
      </c>
      <c r="N113" s="129" t="s">
        <v>303</v>
      </c>
      <c r="O113" s="2" t="s">
        <v>366</v>
      </c>
      <c r="P113" s="129" t="s">
        <v>358</v>
      </c>
      <c r="Q113" s="2" t="s">
        <v>365</v>
      </c>
      <c r="R113" s="129" t="s">
        <v>294</v>
      </c>
      <c r="S113" s="2" t="s">
        <v>375</v>
      </c>
      <c r="T113" s="2" t="s">
        <v>372</v>
      </c>
      <c r="U113" s="2" t="s">
        <v>439</v>
      </c>
      <c r="V113" s="2" t="s">
        <v>379</v>
      </c>
      <c r="W113" s="2" t="s">
        <v>378</v>
      </c>
    </row>
    <row r="114" spans="2:23" x14ac:dyDescent="0.2">
      <c r="B114" s="221"/>
      <c r="C114" s="97" t="str">
        <f t="shared" ref="C114:C138" si="3">F6</f>
        <v>01704538</v>
      </c>
      <c r="D114" s="129" t="s">
        <v>284</v>
      </c>
      <c r="E114" s="2" t="s">
        <v>269</v>
      </c>
      <c r="F114" s="2" t="s">
        <v>298</v>
      </c>
      <c r="G114" s="2" t="s">
        <v>281</v>
      </c>
      <c r="H114" s="2" t="s">
        <v>279</v>
      </c>
      <c r="I114" s="2" t="s">
        <v>273</v>
      </c>
      <c r="J114" s="2" t="s">
        <v>275</v>
      </c>
      <c r="K114" s="2" t="s">
        <v>274</v>
      </c>
      <c r="L114" s="129" t="s">
        <v>357</v>
      </c>
      <c r="M114" s="2" t="s">
        <v>363</v>
      </c>
      <c r="N114" s="129" t="s">
        <v>303</v>
      </c>
      <c r="O114" s="2" t="s">
        <v>366</v>
      </c>
      <c r="P114" s="129" t="s">
        <v>358</v>
      </c>
      <c r="Q114" s="2" t="s">
        <v>365</v>
      </c>
      <c r="R114" s="129" t="s">
        <v>294</v>
      </c>
      <c r="S114" s="2" t="s">
        <v>375</v>
      </c>
      <c r="T114" s="2" t="s">
        <v>372</v>
      </c>
      <c r="U114" s="2" t="s">
        <v>439</v>
      </c>
      <c r="V114" s="2" t="s">
        <v>379</v>
      </c>
      <c r="W114" s="2" t="s">
        <v>378</v>
      </c>
    </row>
    <row r="115" spans="2:23" x14ac:dyDescent="0.2">
      <c r="B115" s="221"/>
      <c r="C115" s="97" t="str">
        <f t="shared" si="3"/>
        <v>01704539</v>
      </c>
      <c r="D115" s="129" t="s">
        <v>284</v>
      </c>
      <c r="E115" s="2" t="s">
        <v>269</v>
      </c>
      <c r="F115" s="2" t="s">
        <v>298</v>
      </c>
      <c r="G115" s="2" t="s">
        <v>281</v>
      </c>
      <c r="H115" s="2" t="s">
        <v>279</v>
      </c>
      <c r="I115" s="2" t="s">
        <v>273</v>
      </c>
      <c r="J115" s="2" t="s">
        <v>275</v>
      </c>
      <c r="K115" s="2" t="s">
        <v>274</v>
      </c>
      <c r="L115" s="129" t="s">
        <v>357</v>
      </c>
      <c r="M115" s="2" t="s">
        <v>363</v>
      </c>
      <c r="N115" s="129" t="s">
        <v>303</v>
      </c>
      <c r="O115" s="2" t="s">
        <v>366</v>
      </c>
      <c r="P115" s="129" t="s">
        <v>358</v>
      </c>
      <c r="Q115" s="2" t="s">
        <v>365</v>
      </c>
      <c r="R115" s="129" t="s">
        <v>294</v>
      </c>
      <c r="S115" s="2" t="s">
        <v>375</v>
      </c>
      <c r="T115" s="2" t="s">
        <v>372</v>
      </c>
      <c r="U115" s="2" t="s">
        <v>439</v>
      </c>
      <c r="V115" s="2" t="s">
        <v>379</v>
      </c>
      <c r="W115" s="2" t="s">
        <v>378</v>
      </c>
    </row>
    <row r="116" spans="2:23" x14ac:dyDescent="0.2">
      <c r="B116" s="221"/>
      <c r="C116" s="97" t="str">
        <f t="shared" si="3"/>
        <v>01704540</v>
      </c>
      <c r="D116" s="129" t="s">
        <v>284</v>
      </c>
      <c r="E116" s="2" t="s">
        <v>269</v>
      </c>
      <c r="F116" s="2" t="s">
        <v>298</v>
      </c>
      <c r="G116" s="2" t="s">
        <v>281</v>
      </c>
      <c r="H116" s="2" t="s">
        <v>279</v>
      </c>
      <c r="I116" s="2" t="s">
        <v>273</v>
      </c>
      <c r="J116" s="2" t="s">
        <v>275</v>
      </c>
      <c r="K116" s="2" t="s">
        <v>274</v>
      </c>
      <c r="L116" s="129" t="s">
        <v>357</v>
      </c>
      <c r="M116" s="2" t="s">
        <v>363</v>
      </c>
      <c r="N116" s="129" t="s">
        <v>303</v>
      </c>
      <c r="O116" s="2" t="s">
        <v>366</v>
      </c>
      <c r="P116" s="129" t="s">
        <v>358</v>
      </c>
      <c r="Q116" s="2" t="s">
        <v>365</v>
      </c>
      <c r="R116" s="129" t="s">
        <v>294</v>
      </c>
      <c r="S116" s="2" t="s">
        <v>375</v>
      </c>
      <c r="T116" s="2" t="s">
        <v>372</v>
      </c>
      <c r="U116" s="2" t="s">
        <v>439</v>
      </c>
      <c r="V116" s="2" t="s">
        <v>379</v>
      </c>
      <c r="W116" s="2" t="s">
        <v>378</v>
      </c>
    </row>
    <row r="117" spans="2:23" ht="13.5" thickBot="1" x14ac:dyDescent="0.25">
      <c r="B117" s="221"/>
      <c r="C117" s="97" t="str">
        <f t="shared" si="3"/>
        <v>01704541</v>
      </c>
      <c r="D117" s="129" t="s">
        <v>284</v>
      </c>
      <c r="E117" s="2" t="s">
        <v>269</v>
      </c>
      <c r="F117" s="2" t="s">
        <v>298</v>
      </c>
      <c r="G117" s="2" t="s">
        <v>281</v>
      </c>
      <c r="H117" s="2" t="s">
        <v>279</v>
      </c>
      <c r="I117" s="2" t="s">
        <v>273</v>
      </c>
      <c r="J117" s="2" t="s">
        <v>275</v>
      </c>
      <c r="K117" s="2" t="s">
        <v>274</v>
      </c>
      <c r="L117" s="129" t="s">
        <v>357</v>
      </c>
      <c r="M117" s="2" t="s">
        <v>363</v>
      </c>
      <c r="N117" s="129" t="s">
        <v>303</v>
      </c>
      <c r="O117" s="126" t="s">
        <v>366</v>
      </c>
      <c r="P117" s="129" t="s">
        <v>358</v>
      </c>
      <c r="Q117" s="2" t="s">
        <v>365</v>
      </c>
      <c r="R117" s="129" t="s">
        <v>294</v>
      </c>
      <c r="S117" s="2" t="s">
        <v>375</v>
      </c>
      <c r="T117" s="2" t="s">
        <v>372</v>
      </c>
      <c r="U117" s="2" t="s">
        <v>439</v>
      </c>
      <c r="V117" s="2" t="s">
        <v>379</v>
      </c>
      <c r="W117" s="2" t="s">
        <v>378</v>
      </c>
    </row>
    <row r="118" spans="2:23" x14ac:dyDescent="0.2">
      <c r="B118" s="221"/>
      <c r="C118" s="97" t="str">
        <f t="shared" si="3"/>
        <v>01704542</v>
      </c>
      <c r="D118" s="129" t="s">
        <v>284</v>
      </c>
      <c r="E118" s="2" t="s">
        <v>269</v>
      </c>
      <c r="F118" s="2" t="s">
        <v>298</v>
      </c>
      <c r="G118" s="2" t="s">
        <v>281</v>
      </c>
      <c r="H118" s="2" t="s">
        <v>279</v>
      </c>
      <c r="I118" s="2" t="s">
        <v>273</v>
      </c>
      <c r="J118" s="2" t="s">
        <v>275</v>
      </c>
      <c r="K118" s="2" t="s">
        <v>274</v>
      </c>
      <c r="L118" s="129" t="s">
        <v>357</v>
      </c>
      <c r="M118" s="2" t="s">
        <v>363</v>
      </c>
      <c r="N118" s="129" t="s">
        <v>303</v>
      </c>
      <c r="O118" s="2" t="s">
        <v>366</v>
      </c>
      <c r="P118" s="129" t="s">
        <v>358</v>
      </c>
      <c r="Q118" s="2" t="s">
        <v>365</v>
      </c>
      <c r="R118" s="129" t="s">
        <v>294</v>
      </c>
      <c r="S118" s="2" t="s">
        <v>375</v>
      </c>
      <c r="T118" s="2" t="s">
        <v>372</v>
      </c>
      <c r="U118" s="2" t="s">
        <v>439</v>
      </c>
      <c r="V118" s="2" t="s">
        <v>379</v>
      </c>
      <c r="W118" s="2" t="s">
        <v>378</v>
      </c>
    </row>
    <row r="119" spans="2:23" x14ac:dyDescent="0.2">
      <c r="B119" s="221"/>
      <c r="C119" s="97" t="str">
        <f t="shared" si="3"/>
        <v>01704543</v>
      </c>
      <c r="D119" s="129" t="s">
        <v>284</v>
      </c>
      <c r="E119" s="2" t="s">
        <v>269</v>
      </c>
      <c r="F119" s="2" t="s">
        <v>298</v>
      </c>
      <c r="G119" s="2" t="s">
        <v>281</v>
      </c>
      <c r="H119" s="2" t="s">
        <v>279</v>
      </c>
      <c r="I119" s="2" t="s">
        <v>273</v>
      </c>
      <c r="J119" s="2" t="s">
        <v>275</v>
      </c>
      <c r="K119" s="2" t="s">
        <v>274</v>
      </c>
      <c r="L119" s="129" t="s">
        <v>357</v>
      </c>
      <c r="M119" s="2" t="s">
        <v>363</v>
      </c>
      <c r="N119" s="129" t="s">
        <v>303</v>
      </c>
      <c r="O119" s="2" t="s">
        <v>366</v>
      </c>
      <c r="P119" s="129" t="s">
        <v>358</v>
      </c>
      <c r="Q119" s="2" t="s">
        <v>365</v>
      </c>
      <c r="R119" s="129" t="s">
        <v>294</v>
      </c>
      <c r="S119" s="2" t="s">
        <v>375</v>
      </c>
      <c r="T119" s="2" t="s">
        <v>372</v>
      </c>
      <c r="U119" s="2" t="s">
        <v>439</v>
      </c>
      <c r="V119" s="2" t="s">
        <v>379</v>
      </c>
      <c r="W119" s="2" t="s">
        <v>378</v>
      </c>
    </row>
    <row r="120" spans="2:23" x14ac:dyDescent="0.2">
      <c r="B120" s="221"/>
      <c r="C120" s="97" t="str">
        <f t="shared" si="3"/>
        <v>01704544</v>
      </c>
      <c r="D120" s="129" t="s">
        <v>284</v>
      </c>
      <c r="E120" s="2" t="s">
        <v>269</v>
      </c>
      <c r="F120" s="2" t="s">
        <v>298</v>
      </c>
      <c r="G120" s="2" t="s">
        <v>281</v>
      </c>
      <c r="H120" s="2" t="s">
        <v>279</v>
      </c>
      <c r="I120" s="2" t="s">
        <v>273</v>
      </c>
      <c r="J120" s="2" t="s">
        <v>275</v>
      </c>
      <c r="K120" s="2" t="s">
        <v>274</v>
      </c>
      <c r="L120" s="129" t="s">
        <v>357</v>
      </c>
      <c r="M120" s="2" t="s">
        <v>363</v>
      </c>
      <c r="N120" s="129" t="s">
        <v>303</v>
      </c>
      <c r="O120" s="2" t="s">
        <v>366</v>
      </c>
      <c r="P120" s="129" t="s">
        <v>358</v>
      </c>
      <c r="Q120" s="2" t="s">
        <v>365</v>
      </c>
      <c r="R120" s="129" t="s">
        <v>294</v>
      </c>
      <c r="S120" s="2" t="s">
        <v>375</v>
      </c>
      <c r="T120" s="2" t="s">
        <v>372</v>
      </c>
      <c r="U120" s="2" t="s">
        <v>439</v>
      </c>
      <c r="V120" s="2" t="s">
        <v>379</v>
      </c>
      <c r="W120" s="2" t="s">
        <v>378</v>
      </c>
    </row>
    <row r="121" spans="2:23" x14ac:dyDescent="0.2">
      <c r="B121" s="221"/>
      <c r="C121" s="97" t="str">
        <f t="shared" si="3"/>
        <v>01704545</v>
      </c>
      <c r="D121" s="129" t="s">
        <v>284</v>
      </c>
      <c r="E121" s="2" t="s">
        <v>269</v>
      </c>
      <c r="F121" s="2" t="s">
        <v>298</v>
      </c>
      <c r="G121" s="2" t="s">
        <v>281</v>
      </c>
      <c r="H121" s="2" t="s">
        <v>279</v>
      </c>
      <c r="I121" s="2" t="s">
        <v>273</v>
      </c>
      <c r="J121" s="2" t="s">
        <v>275</v>
      </c>
      <c r="K121" s="2" t="s">
        <v>274</v>
      </c>
      <c r="L121" s="129" t="s">
        <v>357</v>
      </c>
      <c r="M121" s="2" t="s">
        <v>363</v>
      </c>
      <c r="N121" s="129" t="s">
        <v>303</v>
      </c>
      <c r="O121" s="2" t="s">
        <v>366</v>
      </c>
      <c r="P121" s="129" t="s">
        <v>358</v>
      </c>
      <c r="Q121" s="2" t="s">
        <v>365</v>
      </c>
      <c r="R121" s="129" t="s">
        <v>294</v>
      </c>
      <c r="S121" s="2" t="s">
        <v>375</v>
      </c>
      <c r="T121" s="2" t="s">
        <v>372</v>
      </c>
      <c r="U121" s="2" t="s">
        <v>439</v>
      </c>
      <c r="V121" s="2" t="s">
        <v>379</v>
      </c>
      <c r="W121" s="2" t="s">
        <v>378</v>
      </c>
    </row>
    <row r="122" spans="2:23" x14ac:dyDescent="0.2">
      <c r="B122" s="221"/>
      <c r="C122" s="97" t="str">
        <f t="shared" si="3"/>
        <v>01704546</v>
      </c>
      <c r="D122" s="129" t="s">
        <v>284</v>
      </c>
      <c r="E122" s="2" t="s">
        <v>269</v>
      </c>
      <c r="F122" s="2" t="s">
        <v>298</v>
      </c>
      <c r="G122" s="2" t="s">
        <v>281</v>
      </c>
      <c r="H122" s="2" t="s">
        <v>279</v>
      </c>
      <c r="I122" s="2" t="s">
        <v>273</v>
      </c>
      <c r="J122" s="2" t="s">
        <v>275</v>
      </c>
      <c r="K122" s="2" t="s">
        <v>274</v>
      </c>
      <c r="L122" s="129" t="s">
        <v>357</v>
      </c>
      <c r="M122" s="2" t="s">
        <v>363</v>
      </c>
      <c r="N122" s="129" t="s">
        <v>303</v>
      </c>
      <c r="O122" s="2" t="s">
        <v>366</v>
      </c>
      <c r="P122" s="129" t="s">
        <v>358</v>
      </c>
      <c r="Q122" s="2" t="s">
        <v>365</v>
      </c>
      <c r="R122" s="129" t="s">
        <v>294</v>
      </c>
      <c r="S122" s="2" t="s">
        <v>375</v>
      </c>
      <c r="T122" s="2" t="s">
        <v>372</v>
      </c>
      <c r="U122" s="2" t="s">
        <v>439</v>
      </c>
      <c r="V122" s="2" t="s">
        <v>379</v>
      </c>
      <c r="W122" s="2" t="s">
        <v>378</v>
      </c>
    </row>
    <row r="123" spans="2:23" x14ac:dyDescent="0.2">
      <c r="B123" s="221"/>
      <c r="C123" s="97" t="str">
        <f t="shared" si="3"/>
        <v>01704547</v>
      </c>
      <c r="D123" s="129" t="s">
        <v>284</v>
      </c>
      <c r="E123" s="2" t="s">
        <v>269</v>
      </c>
      <c r="F123" s="2" t="s">
        <v>298</v>
      </c>
      <c r="G123" s="2" t="s">
        <v>281</v>
      </c>
      <c r="H123" s="2" t="s">
        <v>279</v>
      </c>
      <c r="I123" s="2" t="s">
        <v>273</v>
      </c>
      <c r="J123" s="2" t="s">
        <v>275</v>
      </c>
      <c r="K123" s="2" t="s">
        <v>274</v>
      </c>
      <c r="L123" s="129" t="s">
        <v>357</v>
      </c>
      <c r="M123" s="2" t="s">
        <v>363</v>
      </c>
      <c r="N123" s="129" t="s">
        <v>303</v>
      </c>
      <c r="O123" s="2" t="s">
        <v>366</v>
      </c>
      <c r="P123" s="129" t="s">
        <v>358</v>
      </c>
      <c r="Q123" s="2" t="s">
        <v>365</v>
      </c>
      <c r="R123" s="129" t="s">
        <v>294</v>
      </c>
      <c r="S123" s="2" t="s">
        <v>375</v>
      </c>
      <c r="T123" s="2" t="s">
        <v>372</v>
      </c>
      <c r="U123" s="2" t="s">
        <v>439</v>
      </c>
      <c r="V123" s="2" t="s">
        <v>379</v>
      </c>
      <c r="W123" s="2" t="s">
        <v>378</v>
      </c>
    </row>
    <row r="124" spans="2:23" x14ac:dyDescent="0.2">
      <c r="B124" s="221"/>
      <c r="C124" s="97" t="str">
        <f t="shared" si="3"/>
        <v>01704548</v>
      </c>
      <c r="D124" s="129" t="s">
        <v>284</v>
      </c>
      <c r="E124" s="2" t="s">
        <v>269</v>
      </c>
      <c r="F124" s="2" t="s">
        <v>298</v>
      </c>
      <c r="G124" s="2" t="s">
        <v>281</v>
      </c>
      <c r="H124" s="2" t="s">
        <v>279</v>
      </c>
      <c r="I124" s="2" t="s">
        <v>273</v>
      </c>
      <c r="J124" s="2" t="s">
        <v>275</v>
      </c>
      <c r="K124" s="2" t="s">
        <v>274</v>
      </c>
      <c r="L124" s="129" t="s">
        <v>357</v>
      </c>
      <c r="M124" s="2" t="s">
        <v>363</v>
      </c>
      <c r="N124" s="129" t="s">
        <v>303</v>
      </c>
      <c r="O124" s="2" t="s">
        <v>366</v>
      </c>
      <c r="P124" s="129" t="s">
        <v>358</v>
      </c>
      <c r="Q124" s="2" t="s">
        <v>365</v>
      </c>
      <c r="R124" s="129" t="s">
        <v>294</v>
      </c>
      <c r="S124" s="2" t="s">
        <v>375</v>
      </c>
      <c r="T124" s="2" t="s">
        <v>372</v>
      </c>
      <c r="U124" s="2" t="s">
        <v>439</v>
      </c>
      <c r="V124" s="2" t="s">
        <v>379</v>
      </c>
      <c r="W124" s="2" t="s">
        <v>378</v>
      </c>
    </row>
    <row r="125" spans="2:23" x14ac:dyDescent="0.2">
      <c r="B125" s="221"/>
      <c r="C125" s="97" t="str">
        <f t="shared" si="3"/>
        <v>01704549</v>
      </c>
      <c r="D125" s="129" t="s">
        <v>284</v>
      </c>
      <c r="E125" s="2" t="s">
        <v>269</v>
      </c>
      <c r="F125" s="2" t="s">
        <v>298</v>
      </c>
      <c r="G125" s="2" t="s">
        <v>281</v>
      </c>
      <c r="H125" s="2" t="s">
        <v>279</v>
      </c>
      <c r="I125" s="2" t="s">
        <v>273</v>
      </c>
      <c r="J125" s="2" t="s">
        <v>275</v>
      </c>
      <c r="K125" s="2" t="s">
        <v>274</v>
      </c>
      <c r="L125" s="129" t="s">
        <v>357</v>
      </c>
      <c r="M125" s="2" t="s">
        <v>363</v>
      </c>
      <c r="N125" s="129" t="s">
        <v>303</v>
      </c>
      <c r="O125" s="2" t="s">
        <v>366</v>
      </c>
      <c r="P125" s="129" t="s">
        <v>358</v>
      </c>
      <c r="Q125" s="2" t="s">
        <v>365</v>
      </c>
      <c r="R125" s="129" t="s">
        <v>294</v>
      </c>
      <c r="S125" s="2" t="s">
        <v>375</v>
      </c>
      <c r="T125" s="2" t="s">
        <v>372</v>
      </c>
      <c r="U125" s="2" t="s">
        <v>439</v>
      </c>
      <c r="V125" s="2" t="s">
        <v>379</v>
      </c>
      <c r="W125" s="2" t="s">
        <v>378</v>
      </c>
    </row>
    <row r="126" spans="2:23" x14ac:dyDescent="0.2">
      <c r="B126" s="221"/>
      <c r="C126" s="97" t="str">
        <f t="shared" si="3"/>
        <v>01704550</v>
      </c>
      <c r="D126" s="129" t="s">
        <v>284</v>
      </c>
      <c r="E126" s="2" t="s">
        <v>269</v>
      </c>
      <c r="F126" s="2" t="s">
        <v>298</v>
      </c>
      <c r="G126" s="2" t="s">
        <v>281</v>
      </c>
      <c r="H126" s="2" t="s">
        <v>279</v>
      </c>
      <c r="I126" s="2" t="s">
        <v>273</v>
      </c>
      <c r="J126" s="2" t="s">
        <v>275</v>
      </c>
      <c r="K126" s="2" t="s">
        <v>274</v>
      </c>
      <c r="L126" s="129" t="s">
        <v>357</v>
      </c>
      <c r="M126" s="2" t="s">
        <v>363</v>
      </c>
      <c r="N126" s="129" t="s">
        <v>303</v>
      </c>
      <c r="O126" s="2" t="s">
        <v>366</v>
      </c>
      <c r="P126" s="129" t="s">
        <v>358</v>
      </c>
      <c r="Q126" s="2" t="s">
        <v>365</v>
      </c>
      <c r="R126" s="129" t="s">
        <v>294</v>
      </c>
      <c r="S126" s="2" t="s">
        <v>375</v>
      </c>
      <c r="T126" s="2" t="s">
        <v>372</v>
      </c>
      <c r="U126" s="2" t="s">
        <v>439</v>
      </c>
      <c r="V126" s="2" t="s">
        <v>379</v>
      </c>
      <c r="W126" s="2" t="s">
        <v>378</v>
      </c>
    </row>
    <row r="127" spans="2:23" x14ac:dyDescent="0.2">
      <c r="B127" s="221"/>
      <c r="C127" s="97" t="str">
        <f t="shared" si="3"/>
        <v>01704551</v>
      </c>
      <c r="D127" s="129" t="s">
        <v>284</v>
      </c>
      <c r="E127" s="2" t="s">
        <v>269</v>
      </c>
      <c r="F127" s="2" t="s">
        <v>298</v>
      </c>
      <c r="G127" s="2" t="s">
        <v>281</v>
      </c>
      <c r="H127" s="2" t="s">
        <v>279</v>
      </c>
      <c r="I127" s="2" t="s">
        <v>273</v>
      </c>
      <c r="J127" s="2" t="s">
        <v>275</v>
      </c>
      <c r="K127" s="2" t="s">
        <v>274</v>
      </c>
      <c r="L127" s="129" t="s">
        <v>357</v>
      </c>
      <c r="M127" s="2" t="s">
        <v>363</v>
      </c>
      <c r="N127" s="129" t="s">
        <v>303</v>
      </c>
      <c r="O127" s="2" t="s">
        <v>366</v>
      </c>
      <c r="P127" s="129" t="s">
        <v>358</v>
      </c>
      <c r="Q127" s="2" t="s">
        <v>365</v>
      </c>
      <c r="R127" s="129" t="s">
        <v>294</v>
      </c>
      <c r="S127" s="2" t="s">
        <v>375</v>
      </c>
      <c r="T127" s="2" t="s">
        <v>372</v>
      </c>
      <c r="U127" s="2" t="s">
        <v>439</v>
      </c>
      <c r="V127" s="2" t="s">
        <v>379</v>
      </c>
      <c r="W127" s="2" t="s">
        <v>378</v>
      </c>
    </row>
    <row r="128" spans="2:23" x14ac:dyDescent="0.2">
      <c r="B128" s="221"/>
      <c r="C128" s="97" t="str">
        <f t="shared" si="3"/>
        <v>01704552</v>
      </c>
      <c r="D128" s="129" t="s">
        <v>284</v>
      </c>
      <c r="E128" s="2" t="s">
        <v>269</v>
      </c>
      <c r="F128" s="2" t="s">
        <v>298</v>
      </c>
      <c r="G128" s="2" t="s">
        <v>281</v>
      </c>
      <c r="H128" s="2" t="s">
        <v>279</v>
      </c>
      <c r="I128" s="2" t="s">
        <v>273</v>
      </c>
      <c r="J128" s="2" t="s">
        <v>275</v>
      </c>
      <c r="K128" s="2" t="s">
        <v>274</v>
      </c>
      <c r="L128" s="129" t="s">
        <v>357</v>
      </c>
      <c r="M128" s="2" t="s">
        <v>363</v>
      </c>
      <c r="N128" s="129" t="s">
        <v>303</v>
      </c>
      <c r="O128" s="2" t="s">
        <v>366</v>
      </c>
      <c r="P128" s="129" t="s">
        <v>358</v>
      </c>
      <c r="Q128" s="2" t="s">
        <v>365</v>
      </c>
      <c r="R128" s="129" t="s">
        <v>294</v>
      </c>
      <c r="S128" s="2" t="s">
        <v>375</v>
      </c>
      <c r="T128" s="2" t="s">
        <v>372</v>
      </c>
      <c r="U128" s="2" t="s">
        <v>439</v>
      </c>
      <c r="V128" s="2" t="s">
        <v>379</v>
      </c>
      <c r="W128" s="2" t="s">
        <v>378</v>
      </c>
    </row>
    <row r="129" spans="2:23" x14ac:dyDescent="0.2">
      <c r="B129" s="221"/>
      <c r="C129" s="97" t="str">
        <f t="shared" si="3"/>
        <v>01704553</v>
      </c>
      <c r="D129" s="129" t="s">
        <v>284</v>
      </c>
      <c r="E129" s="2" t="s">
        <v>269</v>
      </c>
      <c r="F129" s="2" t="s">
        <v>298</v>
      </c>
      <c r="G129" s="2" t="s">
        <v>281</v>
      </c>
      <c r="H129" s="2" t="s">
        <v>279</v>
      </c>
      <c r="I129" s="2" t="s">
        <v>273</v>
      </c>
      <c r="J129" s="2" t="s">
        <v>275</v>
      </c>
      <c r="K129" s="2" t="s">
        <v>274</v>
      </c>
      <c r="L129" s="129" t="s">
        <v>357</v>
      </c>
      <c r="M129" s="2" t="s">
        <v>363</v>
      </c>
      <c r="N129" s="129" t="s">
        <v>303</v>
      </c>
      <c r="O129" s="2" t="s">
        <v>366</v>
      </c>
      <c r="P129" s="129" t="s">
        <v>358</v>
      </c>
      <c r="Q129" s="2" t="s">
        <v>365</v>
      </c>
      <c r="R129" s="129" t="s">
        <v>294</v>
      </c>
      <c r="S129" s="2" t="s">
        <v>375</v>
      </c>
      <c r="T129" s="2" t="s">
        <v>372</v>
      </c>
      <c r="U129" s="2" t="s">
        <v>439</v>
      </c>
      <c r="V129" s="2" t="s">
        <v>379</v>
      </c>
      <c r="W129" s="2" t="s">
        <v>378</v>
      </c>
    </row>
    <row r="130" spans="2:23" x14ac:dyDescent="0.2">
      <c r="B130" s="221"/>
      <c r="C130" s="97" t="str">
        <f t="shared" si="3"/>
        <v>01704554</v>
      </c>
      <c r="D130" s="129" t="s">
        <v>284</v>
      </c>
      <c r="E130" s="2" t="s">
        <v>269</v>
      </c>
      <c r="F130" s="2" t="s">
        <v>298</v>
      </c>
      <c r="G130" s="2" t="s">
        <v>281</v>
      </c>
      <c r="H130" s="2" t="s">
        <v>279</v>
      </c>
      <c r="I130" s="2" t="s">
        <v>273</v>
      </c>
      <c r="J130" s="2" t="s">
        <v>275</v>
      </c>
      <c r="K130" s="2" t="s">
        <v>274</v>
      </c>
      <c r="L130" s="129" t="s">
        <v>357</v>
      </c>
      <c r="M130" s="2" t="s">
        <v>363</v>
      </c>
      <c r="N130" s="129" t="s">
        <v>303</v>
      </c>
      <c r="O130" s="2" t="s">
        <v>366</v>
      </c>
      <c r="P130" s="129" t="s">
        <v>358</v>
      </c>
      <c r="Q130" s="2" t="s">
        <v>365</v>
      </c>
      <c r="R130" s="129" t="s">
        <v>294</v>
      </c>
      <c r="S130" s="2" t="s">
        <v>375</v>
      </c>
      <c r="T130" s="2" t="s">
        <v>372</v>
      </c>
      <c r="U130" s="2" t="s">
        <v>439</v>
      </c>
      <c r="V130" s="2" t="s">
        <v>379</v>
      </c>
      <c r="W130" s="2" t="s">
        <v>378</v>
      </c>
    </row>
    <row r="131" spans="2:23" x14ac:dyDescent="0.2">
      <c r="B131" s="221"/>
      <c r="C131" s="97" t="str">
        <f t="shared" si="3"/>
        <v>01704555</v>
      </c>
      <c r="D131" s="129" t="s">
        <v>284</v>
      </c>
      <c r="E131" s="2" t="s">
        <v>269</v>
      </c>
      <c r="F131" s="2" t="s">
        <v>298</v>
      </c>
      <c r="G131" s="2" t="s">
        <v>281</v>
      </c>
      <c r="H131" s="2" t="s">
        <v>279</v>
      </c>
      <c r="I131" s="2" t="s">
        <v>273</v>
      </c>
      <c r="J131" s="2" t="s">
        <v>275</v>
      </c>
      <c r="K131" s="2" t="s">
        <v>274</v>
      </c>
      <c r="L131" s="129" t="s">
        <v>357</v>
      </c>
      <c r="M131" s="2" t="s">
        <v>363</v>
      </c>
      <c r="N131" s="129" t="s">
        <v>303</v>
      </c>
      <c r="O131" s="2" t="s">
        <v>366</v>
      </c>
      <c r="P131" s="129" t="s">
        <v>358</v>
      </c>
      <c r="Q131" s="2" t="s">
        <v>365</v>
      </c>
      <c r="R131" s="129" t="s">
        <v>294</v>
      </c>
      <c r="S131" s="2" t="s">
        <v>375</v>
      </c>
      <c r="T131" s="2" t="s">
        <v>372</v>
      </c>
      <c r="U131" s="2" t="s">
        <v>439</v>
      </c>
      <c r="V131" s="2" t="s">
        <v>379</v>
      </c>
      <c r="W131" s="2" t="s">
        <v>378</v>
      </c>
    </row>
    <row r="132" spans="2:23" x14ac:dyDescent="0.2">
      <c r="B132" s="221"/>
      <c r="C132" s="97" t="str">
        <f t="shared" si="3"/>
        <v>01704556</v>
      </c>
      <c r="D132" s="129" t="s">
        <v>284</v>
      </c>
      <c r="E132" s="2" t="s">
        <v>269</v>
      </c>
      <c r="F132" s="2" t="s">
        <v>298</v>
      </c>
      <c r="G132" s="2" t="s">
        <v>281</v>
      </c>
      <c r="H132" s="2" t="s">
        <v>279</v>
      </c>
      <c r="I132" s="2" t="s">
        <v>273</v>
      </c>
      <c r="J132" s="2" t="s">
        <v>275</v>
      </c>
      <c r="K132" s="2" t="s">
        <v>274</v>
      </c>
      <c r="L132" s="129" t="s">
        <v>357</v>
      </c>
      <c r="M132" s="2" t="s">
        <v>363</v>
      </c>
      <c r="N132" s="129" t="s">
        <v>303</v>
      </c>
      <c r="O132" s="2" t="s">
        <v>366</v>
      </c>
      <c r="P132" s="129" t="s">
        <v>358</v>
      </c>
      <c r="Q132" s="2" t="s">
        <v>365</v>
      </c>
      <c r="R132" s="129" t="s">
        <v>294</v>
      </c>
      <c r="S132" s="2" t="s">
        <v>375</v>
      </c>
      <c r="T132" s="2" t="s">
        <v>372</v>
      </c>
      <c r="U132" s="2" t="s">
        <v>439</v>
      </c>
      <c r="V132" s="2" t="s">
        <v>379</v>
      </c>
      <c r="W132" s="2" t="s">
        <v>378</v>
      </c>
    </row>
    <row r="133" spans="2:23" x14ac:dyDescent="0.2">
      <c r="B133" s="221"/>
      <c r="C133" s="97" t="str">
        <f t="shared" si="3"/>
        <v>01704557</v>
      </c>
      <c r="D133" s="129" t="s">
        <v>284</v>
      </c>
      <c r="E133" s="2" t="s">
        <v>269</v>
      </c>
      <c r="F133" s="2" t="s">
        <v>298</v>
      </c>
      <c r="G133" s="2" t="s">
        <v>281</v>
      </c>
      <c r="H133" s="2" t="s">
        <v>279</v>
      </c>
      <c r="I133" s="2" t="s">
        <v>273</v>
      </c>
      <c r="J133" s="2" t="s">
        <v>275</v>
      </c>
      <c r="K133" s="2" t="s">
        <v>274</v>
      </c>
      <c r="L133" s="129" t="s">
        <v>357</v>
      </c>
      <c r="M133" s="2" t="s">
        <v>363</v>
      </c>
      <c r="N133" s="129" t="s">
        <v>303</v>
      </c>
      <c r="O133" s="2" t="s">
        <v>366</v>
      </c>
      <c r="P133" s="129" t="s">
        <v>358</v>
      </c>
      <c r="Q133" s="2" t="s">
        <v>365</v>
      </c>
      <c r="R133" s="129" t="s">
        <v>294</v>
      </c>
      <c r="S133" s="2" t="s">
        <v>375</v>
      </c>
      <c r="T133" s="2" t="s">
        <v>372</v>
      </c>
      <c r="U133" s="2" t="s">
        <v>439</v>
      </c>
      <c r="V133" s="2" t="s">
        <v>379</v>
      </c>
      <c r="W133" s="2" t="s">
        <v>378</v>
      </c>
    </row>
    <row r="134" spans="2:23" x14ac:dyDescent="0.2">
      <c r="B134" s="221"/>
      <c r="C134" s="97" t="str">
        <f t="shared" si="3"/>
        <v>01704558</v>
      </c>
      <c r="D134" s="129" t="s">
        <v>284</v>
      </c>
      <c r="E134" s="2" t="s">
        <v>269</v>
      </c>
      <c r="F134" s="2" t="s">
        <v>298</v>
      </c>
      <c r="G134" s="2" t="s">
        <v>281</v>
      </c>
      <c r="H134" s="2" t="s">
        <v>279</v>
      </c>
      <c r="I134" s="2" t="s">
        <v>273</v>
      </c>
      <c r="J134" s="2" t="s">
        <v>275</v>
      </c>
      <c r="K134" s="2" t="s">
        <v>274</v>
      </c>
      <c r="L134" s="129" t="s">
        <v>357</v>
      </c>
      <c r="M134" s="2" t="s">
        <v>363</v>
      </c>
      <c r="N134" s="129" t="s">
        <v>303</v>
      </c>
      <c r="O134" s="2" t="s">
        <v>366</v>
      </c>
      <c r="P134" s="129" t="s">
        <v>358</v>
      </c>
      <c r="Q134" s="2" t="s">
        <v>365</v>
      </c>
      <c r="R134" s="129" t="s">
        <v>294</v>
      </c>
      <c r="S134" s="2" t="s">
        <v>375</v>
      </c>
      <c r="T134" s="2" t="s">
        <v>372</v>
      </c>
      <c r="U134" s="2" t="s">
        <v>439</v>
      </c>
      <c r="V134" s="2" t="s">
        <v>379</v>
      </c>
      <c r="W134" s="2" t="s">
        <v>378</v>
      </c>
    </row>
    <row r="135" spans="2:23" x14ac:dyDescent="0.2">
      <c r="B135" s="221"/>
      <c r="C135" s="97" t="str">
        <f t="shared" si="3"/>
        <v>01704559</v>
      </c>
      <c r="D135" s="129" t="s">
        <v>284</v>
      </c>
      <c r="E135" s="2" t="s">
        <v>269</v>
      </c>
      <c r="F135" s="2" t="s">
        <v>298</v>
      </c>
      <c r="G135" s="2" t="s">
        <v>281</v>
      </c>
      <c r="H135" s="2" t="s">
        <v>279</v>
      </c>
      <c r="I135" s="2" t="s">
        <v>273</v>
      </c>
      <c r="J135" s="2" t="s">
        <v>275</v>
      </c>
      <c r="K135" s="2" t="s">
        <v>274</v>
      </c>
      <c r="L135" s="129" t="s">
        <v>357</v>
      </c>
      <c r="M135" s="2" t="s">
        <v>363</v>
      </c>
      <c r="N135" s="129" t="s">
        <v>303</v>
      </c>
      <c r="O135" s="2" t="s">
        <v>366</v>
      </c>
      <c r="P135" s="129" t="s">
        <v>358</v>
      </c>
      <c r="Q135" s="2" t="s">
        <v>365</v>
      </c>
      <c r="R135" s="129" t="s">
        <v>294</v>
      </c>
      <c r="S135" s="2" t="s">
        <v>375</v>
      </c>
      <c r="T135" s="2" t="s">
        <v>372</v>
      </c>
      <c r="U135" s="2" t="s">
        <v>439</v>
      </c>
      <c r="V135" s="2" t="s">
        <v>379</v>
      </c>
      <c r="W135" s="2" t="s">
        <v>378</v>
      </c>
    </row>
    <row r="136" spans="2:23" x14ac:dyDescent="0.2">
      <c r="B136" s="221"/>
      <c r="C136" s="97" t="str">
        <f t="shared" si="3"/>
        <v>01704560</v>
      </c>
      <c r="D136" s="129" t="s">
        <v>284</v>
      </c>
      <c r="E136" s="2" t="s">
        <v>269</v>
      </c>
      <c r="F136" s="2" t="s">
        <v>298</v>
      </c>
      <c r="G136" s="2" t="s">
        <v>281</v>
      </c>
      <c r="H136" s="2" t="s">
        <v>279</v>
      </c>
      <c r="I136" s="2" t="s">
        <v>273</v>
      </c>
      <c r="J136" s="2" t="s">
        <v>275</v>
      </c>
      <c r="K136" s="2" t="s">
        <v>274</v>
      </c>
      <c r="L136" s="129" t="s">
        <v>357</v>
      </c>
      <c r="M136" s="2" t="s">
        <v>363</v>
      </c>
      <c r="N136" s="129" t="s">
        <v>303</v>
      </c>
      <c r="O136" s="2" t="s">
        <v>366</v>
      </c>
      <c r="P136" s="129" t="s">
        <v>358</v>
      </c>
      <c r="Q136" s="2" t="s">
        <v>365</v>
      </c>
      <c r="R136" s="129" t="s">
        <v>294</v>
      </c>
      <c r="S136" s="2" t="s">
        <v>375</v>
      </c>
      <c r="T136" s="2" t="s">
        <v>372</v>
      </c>
      <c r="U136" s="2" t="s">
        <v>439</v>
      </c>
      <c r="V136" s="2" t="s">
        <v>379</v>
      </c>
      <c r="W136" s="2" t="s">
        <v>378</v>
      </c>
    </row>
    <row r="137" spans="2:23" x14ac:dyDescent="0.2">
      <c r="B137" s="221"/>
      <c r="C137" s="97" t="str">
        <f t="shared" si="3"/>
        <v>01704561</v>
      </c>
      <c r="D137" s="129" t="s">
        <v>284</v>
      </c>
      <c r="E137" s="2" t="s">
        <v>269</v>
      </c>
      <c r="F137" s="2" t="s">
        <v>298</v>
      </c>
      <c r="G137" s="2" t="s">
        <v>281</v>
      </c>
      <c r="H137" s="2" t="s">
        <v>279</v>
      </c>
      <c r="I137" s="2" t="s">
        <v>273</v>
      </c>
      <c r="J137" s="2" t="s">
        <v>275</v>
      </c>
      <c r="K137" s="2" t="s">
        <v>274</v>
      </c>
      <c r="L137" s="129" t="s">
        <v>357</v>
      </c>
      <c r="M137" s="2" t="s">
        <v>363</v>
      </c>
      <c r="N137" s="129" t="s">
        <v>303</v>
      </c>
      <c r="O137" s="2" t="s">
        <v>366</v>
      </c>
      <c r="P137" s="129" t="s">
        <v>358</v>
      </c>
      <c r="Q137" s="2" t="s">
        <v>365</v>
      </c>
      <c r="R137" s="129" t="s">
        <v>294</v>
      </c>
      <c r="S137" s="2" t="s">
        <v>375</v>
      </c>
      <c r="T137" s="2" t="s">
        <v>372</v>
      </c>
      <c r="U137" s="2" t="s">
        <v>439</v>
      </c>
      <c r="V137" s="2" t="s">
        <v>379</v>
      </c>
      <c r="W137" s="2" t="s">
        <v>378</v>
      </c>
    </row>
    <row r="138" spans="2:23" s="113" customFormat="1" ht="13.5" thickBot="1" x14ac:dyDescent="0.25">
      <c r="B138" s="221"/>
      <c r="C138" s="111" t="str">
        <f t="shared" si="3"/>
        <v>01704562</v>
      </c>
      <c r="D138" s="130" t="s">
        <v>284</v>
      </c>
      <c r="E138" s="112" t="s">
        <v>269</v>
      </c>
      <c r="F138" s="112" t="s">
        <v>298</v>
      </c>
      <c r="G138" s="112" t="s">
        <v>281</v>
      </c>
      <c r="H138" s="112" t="s">
        <v>279</v>
      </c>
      <c r="I138" s="112" t="s">
        <v>273</v>
      </c>
      <c r="J138" s="112" t="s">
        <v>275</v>
      </c>
      <c r="K138" s="112" t="s">
        <v>274</v>
      </c>
      <c r="L138" s="130" t="s">
        <v>357</v>
      </c>
      <c r="M138" s="112" t="s">
        <v>363</v>
      </c>
      <c r="N138" s="130" t="s">
        <v>303</v>
      </c>
      <c r="O138" s="112" t="s">
        <v>366</v>
      </c>
      <c r="P138" s="130" t="s">
        <v>358</v>
      </c>
      <c r="Q138" s="112" t="s">
        <v>365</v>
      </c>
      <c r="R138" s="130" t="s">
        <v>294</v>
      </c>
      <c r="S138" s="112" t="s">
        <v>375</v>
      </c>
      <c r="T138" s="112" t="s">
        <v>372</v>
      </c>
      <c r="U138" s="2" t="s">
        <v>439</v>
      </c>
      <c r="V138" s="112" t="s">
        <v>379</v>
      </c>
      <c r="W138" s="112" t="s">
        <v>378</v>
      </c>
    </row>
    <row r="139" spans="2:23" x14ac:dyDescent="0.2">
      <c r="B139" s="221" t="s">
        <v>295</v>
      </c>
      <c r="C139" s="98" t="str">
        <f>G5</f>
        <v>00025</v>
      </c>
      <c r="D139" s="2" t="s">
        <v>276</v>
      </c>
      <c r="E139" s="119"/>
      <c r="F139" s="119"/>
      <c r="G139" s="119"/>
      <c r="H139" s="119"/>
      <c r="I139" s="119"/>
      <c r="J139" s="119"/>
      <c r="K139" s="119"/>
      <c r="L139" s="2" t="s">
        <v>367</v>
      </c>
      <c r="M139" s="123"/>
      <c r="N139" s="2" t="s">
        <v>368</v>
      </c>
      <c r="O139" s="123"/>
      <c r="P139" s="2" t="s">
        <v>370</v>
      </c>
      <c r="Q139" s="123"/>
      <c r="R139" s="116" t="s">
        <v>371</v>
      </c>
      <c r="S139" s="119"/>
      <c r="T139" s="119"/>
      <c r="U139" s="119"/>
      <c r="V139" s="119"/>
      <c r="W139" s="119"/>
    </row>
    <row r="140" spans="2:23" x14ac:dyDescent="0.2">
      <c r="B140" s="221"/>
      <c r="C140" s="98" t="str">
        <f t="shared" ref="C140:C164" si="4">G6</f>
        <v>00026</v>
      </c>
      <c r="D140" s="2" t="s">
        <v>276</v>
      </c>
      <c r="E140" s="119"/>
      <c r="F140" s="119"/>
      <c r="G140" s="119"/>
      <c r="H140" s="119"/>
      <c r="I140" s="119"/>
      <c r="J140" s="119"/>
      <c r="K140" s="119"/>
      <c r="L140" s="2" t="s">
        <v>367</v>
      </c>
      <c r="M140" s="123"/>
      <c r="N140" s="2" t="s">
        <v>368</v>
      </c>
      <c r="O140" s="119"/>
      <c r="P140" s="2" t="s">
        <v>370</v>
      </c>
      <c r="Q140" s="119"/>
      <c r="R140" s="116" t="s">
        <v>371</v>
      </c>
      <c r="S140" s="119"/>
      <c r="T140" s="119"/>
      <c r="U140" s="119"/>
      <c r="V140" s="119"/>
      <c r="W140" s="119"/>
    </row>
    <row r="141" spans="2:23" x14ac:dyDescent="0.2">
      <c r="B141" s="221"/>
      <c r="C141" s="98" t="str">
        <f t="shared" si="4"/>
        <v>00027</v>
      </c>
      <c r="D141" s="2" t="s">
        <v>276</v>
      </c>
      <c r="E141" s="119"/>
      <c r="F141" s="119"/>
      <c r="G141" s="119"/>
      <c r="H141" s="119"/>
      <c r="I141" s="119"/>
      <c r="J141" s="119"/>
      <c r="K141" s="119"/>
      <c r="L141" s="2" t="s">
        <v>367</v>
      </c>
      <c r="M141" s="123"/>
      <c r="N141" s="2" t="s">
        <v>368</v>
      </c>
      <c r="O141" s="119"/>
      <c r="P141" s="2" t="s">
        <v>370</v>
      </c>
      <c r="Q141" s="119"/>
      <c r="R141" s="116" t="s">
        <v>371</v>
      </c>
      <c r="S141" s="119"/>
      <c r="T141" s="119"/>
      <c r="U141" s="119"/>
      <c r="V141" s="119"/>
      <c r="W141" s="119"/>
    </row>
    <row r="142" spans="2:23" x14ac:dyDescent="0.2">
      <c r="B142" s="221"/>
      <c r="C142" s="98" t="str">
        <f t="shared" si="4"/>
        <v>00028</v>
      </c>
      <c r="D142" s="2" t="s">
        <v>276</v>
      </c>
      <c r="E142" s="119"/>
      <c r="F142" s="119"/>
      <c r="G142" s="119"/>
      <c r="H142" s="119"/>
      <c r="I142" s="119"/>
      <c r="J142" s="119"/>
      <c r="K142" s="119"/>
      <c r="L142" s="2" t="s">
        <v>367</v>
      </c>
      <c r="M142" s="123"/>
      <c r="N142" s="2" t="s">
        <v>368</v>
      </c>
      <c r="O142" s="119"/>
      <c r="P142" s="2" t="s">
        <v>370</v>
      </c>
      <c r="Q142" s="119"/>
      <c r="R142" s="116" t="s">
        <v>371</v>
      </c>
      <c r="S142" s="119"/>
      <c r="T142" s="119"/>
      <c r="U142" s="119"/>
      <c r="V142" s="119"/>
      <c r="W142" s="119"/>
    </row>
    <row r="143" spans="2:23" x14ac:dyDescent="0.2">
      <c r="B143" s="221"/>
      <c r="C143" s="98" t="str">
        <f t="shared" si="4"/>
        <v>00029</v>
      </c>
      <c r="D143" s="2" t="s">
        <v>276</v>
      </c>
      <c r="E143" s="119"/>
      <c r="F143" s="119"/>
      <c r="G143" s="119"/>
      <c r="H143" s="119"/>
      <c r="I143" s="119"/>
      <c r="J143" s="119"/>
      <c r="K143" s="119"/>
      <c r="L143" s="2" t="s">
        <v>367</v>
      </c>
      <c r="M143" s="123"/>
      <c r="N143" s="2" t="s">
        <v>368</v>
      </c>
      <c r="O143" s="119"/>
      <c r="P143" s="2" t="s">
        <v>370</v>
      </c>
      <c r="Q143" s="119"/>
      <c r="R143" s="116" t="s">
        <v>371</v>
      </c>
      <c r="S143" s="119"/>
      <c r="T143" s="119"/>
      <c r="U143" s="119"/>
      <c r="V143" s="119"/>
      <c r="W143" s="119"/>
    </row>
    <row r="144" spans="2:23" x14ac:dyDescent="0.2">
      <c r="B144" s="221"/>
      <c r="C144" s="98" t="str">
        <f t="shared" si="4"/>
        <v>00030</v>
      </c>
      <c r="D144" s="2" t="s">
        <v>276</v>
      </c>
      <c r="E144" s="119"/>
      <c r="F144" s="119"/>
      <c r="G144" s="119"/>
      <c r="H144" s="119"/>
      <c r="I144" s="119"/>
      <c r="J144" s="119"/>
      <c r="K144" s="119"/>
      <c r="L144" s="2" t="s">
        <v>367</v>
      </c>
      <c r="M144" s="123"/>
      <c r="N144" s="2" t="s">
        <v>368</v>
      </c>
      <c r="O144" s="119"/>
      <c r="P144" s="2" t="s">
        <v>370</v>
      </c>
      <c r="Q144" s="119"/>
      <c r="R144" s="116" t="s">
        <v>371</v>
      </c>
      <c r="S144" s="119"/>
      <c r="T144" s="119"/>
      <c r="U144" s="119"/>
      <c r="V144" s="119"/>
      <c r="W144" s="119"/>
    </row>
    <row r="145" spans="2:23" x14ac:dyDescent="0.2">
      <c r="B145" s="221"/>
      <c r="C145" s="98" t="str">
        <f t="shared" si="4"/>
        <v>00031</v>
      </c>
      <c r="D145" s="2" t="s">
        <v>276</v>
      </c>
      <c r="E145" s="119"/>
      <c r="F145" s="119"/>
      <c r="G145" s="119"/>
      <c r="H145" s="119"/>
      <c r="I145" s="119"/>
      <c r="J145" s="119"/>
      <c r="K145" s="119"/>
      <c r="L145" s="2" t="s">
        <v>367</v>
      </c>
      <c r="M145" s="123"/>
      <c r="N145" s="2" t="s">
        <v>368</v>
      </c>
      <c r="O145" s="119"/>
      <c r="P145" s="2" t="s">
        <v>370</v>
      </c>
      <c r="Q145" s="119"/>
      <c r="R145" s="116" t="s">
        <v>371</v>
      </c>
      <c r="S145" s="119"/>
      <c r="T145" s="119"/>
      <c r="U145" s="119"/>
      <c r="V145" s="119"/>
      <c r="W145" s="119"/>
    </row>
    <row r="146" spans="2:23" x14ac:dyDescent="0.2">
      <c r="B146" s="221"/>
      <c r="C146" s="98" t="str">
        <f t="shared" si="4"/>
        <v>00032</v>
      </c>
      <c r="D146" s="2" t="s">
        <v>276</v>
      </c>
      <c r="E146" s="119"/>
      <c r="F146" s="119"/>
      <c r="G146" s="119"/>
      <c r="H146" s="119"/>
      <c r="I146" s="119"/>
      <c r="J146" s="119"/>
      <c r="K146" s="119"/>
      <c r="L146" s="2" t="s">
        <v>367</v>
      </c>
      <c r="M146" s="123"/>
      <c r="N146" s="2" t="s">
        <v>368</v>
      </c>
      <c r="O146" s="119"/>
      <c r="P146" s="2" t="s">
        <v>370</v>
      </c>
      <c r="Q146" s="119"/>
      <c r="R146" s="116" t="s">
        <v>371</v>
      </c>
      <c r="S146" s="119"/>
      <c r="T146" s="119"/>
      <c r="U146" s="119"/>
      <c r="V146" s="119"/>
      <c r="W146" s="119"/>
    </row>
    <row r="147" spans="2:23" x14ac:dyDescent="0.2">
      <c r="B147" s="221"/>
      <c r="C147" s="98" t="str">
        <f t="shared" si="4"/>
        <v>00033</v>
      </c>
      <c r="D147" s="2" t="s">
        <v>276</v>
      </c>
      <c r="E147" s="119"/>
      <c r="F147" s="119"/>
      <c r="G147" s="119"/>
      <c r="H147" s="119"/>
      <c r="I147" s="119"/>
      <c r="J147" s="119"/>
      <c r="K147" s="119"/>
      <c r="L147" s="2" t="s">
        <v>367</v>
      </c>
      <c r="M147" s="123"/>
      <c r="N147" s="2" t="s">
        <v>368</v>
      </c>
      <c r="O147" s="119"/>
      <c r="P147" s="2" t="s">
        <v>370</v>
      </c>
      <c r="Q147" s="119"/>
      <c r="R147" s="116" t="s">
        <v>371</v>
      </c>
      <c r="S147" s="119"/>
      <c r="T147" s="119"/>
      <c r="U147" s="119"/>
      <c r="V147" s="119"/>
      <c r="W147" s="119"/>
    </row>
    <row r="148" spans="2:23" x14ac:dyDescent="0.2">
      <c r="B148" s="221"/>
      <c r="C148" s="98" t="str">
        <f t="shared" si="4"/>
        <v>00034</v>
      </c>
      <c r="D148" s="2" t="s">
        <v>276</v>
      </c>
      <c r="E148" s="119"/>
      <c r="F148" s="119"/>
      <c r="G148" s="119"/>
      <c r="H148" s="119"/>
      <c r="I148" s="119"/>
      <c r="J148" s="119"/>
      <c r="K148" s="119"/>
      <c r="L148" s="2" t="s">
        <v>367</v>
      </c>
      <c r="M148" s="123"/>
      <c r="N148" s="2" t="s">
        <v>368</v>
      </c>
      <c r="O148" s="119"/>
      <c r="P148" s="2" t="s">
        <v>370</v>
      </c>
      <c r="Q148" s="119"/>
      <c r="R148" s="116" t="s">
        <v>371</v>
      </c>
      <c r="S148" s="119"/>
      <c r="T148" s="119"/>
      <c r="U148" s="119"/>
      <c r="V148" s="119"/>
      <c r="W148" s="119"/>
    </row>
    <row r="149" spans="2:23" x14ac:dyDescent="0.2">
      <c r="B149" s="221"/>
      <c r="C149" s="98" t="str">
        <f t="shared" si="4"/>
        <v>00035</v>
      </c>
      <c r="D149" s="2" t="s">
        <v>276</v>
      </c>
      <c r="E149" s="119"/>
      <c r="F149" s="119"/>
      <c r="G149" s="119"/>
      <c r="H149" s="119"/>
      <c r="I149" s="119"/>
      <c r="J149" s="119"/>
      <c r="K149" s="119"/>
      <c r="L149" s="2" t="s">
        <v>367</v>
      </c>
      <c r="M149" s="123"/>
      <c r="N149" s="2" t="s">
        <v>368</v>
      </c>
      <c r="O149" s="119"/>
      <c r="P149" s="2" t="s">
        <v>370</v>
      </c>
      <c r="Q149" s="119"/>
      <c r="R149" s="116" t="s">
        <v>371</v>
      </c>
      <c r="S149" s="119"/>
      <c r="T149" s="119"/>
      <c r="U149" s="119"/>
      <c r="V149" s="119"/>
      <c r="W149" s="119"/>
    </row>
    <row r="150" spans="2:23" x14ac:dyDescent="0.2">
      <c r="B150" s="221"/>
      <c r="C150" s="98" t="str">
        <f t="shared" si="4"/>
        <v>00036</v>
      </c>
      <c r="D150" s="2" t="s">
        <v>276</v>
      </c>
      <c r="E150" s="119"/>
      <c r="F150" s="119"/>
      <c r="G150" s="119"/>
      <c r="H150" s="119"/>
      <c r="I150" s="119"/>
      <c r="J150" s="119"/>
      <c r="K150" s="119"/>
      <c r="L150" s="2" t="s">
        <v>367</v>
      </c>
      <c r="M150" s="123"/>
      <c r="N150" s="2" t="s">
        <v>368</v>
      </c>
      <c r="O150" s="119"/>
      <c r="P150" s="2" t="s">
        <v>370</v>
      </c>
      <c r="Q150" s="119"/>
      <c r="R150" s="116" t="s">
        <v>371</v>
      </c>
      <c r="S150" s="119"/>
      <c r="T150" s="119"/>
      <c r="U150" s="119"/>
      <c r="V150" s="119"/>
      <c r="W150" s="119"/>
    </row>
    <row r="151" spans="2:23" x14ac:dyDescent="0.2">
      <c r="B151" s="221"/>
      <c r="C151" s="98" t="str">
        <f t="shared" si="4"/>
        <v>00037</v>
      </c>
      <c r="D151" s="2" t="s">
        <v>276</v>
      </c>
      <c r="E151" s="119"/>
      <c r="F151" s="119"/>
      <c r="G151" s="119"/>
      <c r="H151" s="119"/>
      <c r="I151" s="119"/>
      <c r="J151" s="119"/>
      <c r="K151" s="119"/>
      <c r="L151" s="2" t="s">
        <v>367</v>
      </c>
      <c r="M151" s="123"/>
      <c r="N151" s="2" t="s">
        <v>368</v>
      </c>
      <c r="O151" s="119"/>
      <c r="P151" s="2" t="s">
        <v>370</v>
      </c>
      <c r="Q151" s="119"/>
      <c r="R151" s="116" t="s">
        <v>371</v>
      </c>
      <c r="S151" s="119"/>
      <c r="T151" s="119"/>
      <c r="U151" s="119"/>
      <c r="V151" s="119"/>
      <c r="W151" s="119"/>
    </row>
    <row r="152" spans="2:23" x14ac:dyDescent="0.2">
      <c r="B152" s="221"/>
      <c r="C152" s="98" t="str">
        <f t="shared" si="4"/>
        <v>00038</v>
      </c>
      <c r="D152" s="2" t="s">
        <v>276</v>
      </c>
      <c r="E152" s="119"/>
      <c r="F152" s="119"/>
      <c r="G152" s="119"/>
      <c r="H152" s="119"/>
      <c r="I152" s="119"/>
      <c r="J152" s="119"/>
      <c r="K152" s="119"/>
      <c r="L152" s="2" t="s">
        <v>367</v>
      </c>
      <c r="M152" s="123"/>
      <c r="N152" s="2" t="s">
        <v>368</v>
      </c>
      <c r="O152" s="119"/>
      <c r="P152" s="2" t="s">
        <v>370</v>
      </c>
      <c r="Q152" s="119"/>
      <c r="R152" s="116" t="s">
        <v>371</v>
      </c>
      <c r="S152" s="119"/>
      <c r="T152" s="119"/>
      <c r="U152" s="119"/>
      <c r="V152" s="119"/>
      <c r="W152" s="119"/>
    </row>
    <row r="153" spans="2:23" x14ac:dyDescent="0.2">
      <c r="B153" s="221"/>
      <c r="C153" s="98" t="str">
        <f t="shared" si="4"/>
        <v>00039</v>
      </c>
      <c r="D153" s="2" t="s">
        <v>276</v>
      </c>
      <c r="E153" s="119"/>
      <c r="F153" s="119"/>
      <c r="G153" s="119"/>
      <c r="H153" s="119"/>
      <c r="I153" s="119"/>
      <c r="J153" s="119"/>
      <c r="K153" s="119"/>
      <c r="L153" s="2" t="s">
        <v>367</v>
      </c>
      <c r="M153" s="123"/>
      <c r="N153" s="2" t="s">
        <v>368</v>
      </c>
      <c r="O153" s="119"/>
      <c r="P153" s="2" t="s">
        <v>370</v>
      </c>
      <c r="Q153" s="119"/>
      <c r="R153" s="116" t="s">
        <v>371</v>
      </c>
      <c r="S153" s="119"/>
      <c r="T153" s="119"/>
      <c r="U153" s="119"/>
      <c r="V153" s="119"/>
      <c r="W153" s="119"/>
    </row>
    <row r="154" spans="2:23" x14ac:dyDescent="0.2">
      <c r="B154" s="221"/>
      <c r="C154" s="98" t="str">
        <f t="shared" si="4"/>
        <v>00040</v>
      </c>
      <c r="D154" s="2" t="s">
        <v>276</v>
      </c>
      <c r="E154" s="119"/>
      <c r="F154" s="119"/>
      <c r="G154" s="119"/>
      <c r="H154" s="119"/>
      <c r="I154" s="119"/>
      <c r="J154" s="119"/>
      <c r="K154" s="119"/>
      <c r="L154" s="2" t="s">
        <v>367</v>
      </c>
      <c r="M154" s="123"/>
      <c r="N154" s="2" t="s">
        <v>368</v>
      </c>
      <c r="O154" s="119"/>
      <c r="P154" s="2" t="s">
        <v>370</v>
      </c>
      <c r="Q154" s="119"/>
      <c r="R154" s="116" t="s">
        <v>371</v>
      </c>
      <c r="S154" s="119"/>
      <c r="T154" s="119"/>
      <c r="U154" s="119"/>
      <c r="V154" s="119"/>
      <c r="W154" s="119"/>
    </row>
    <row r="155" spans="2:23" x14ac:dyDescent="0.2">
      <c r="B155" s="221"/>
      <c r="C155" s="98" t="str">
        <f t="shared" si="4"/>
        <v>00041</v>
      </c>
      <c r="D155" s="2" t="s">
        <v>276</v>
      </c>
      <c r="E155" s="119"/>
      <c r="F155" s="119"/>
      <c r="G155" s="119"/>
      <c r="H155" s="119"/>
      <c r="I155" s="119"/>
      <c r="J155" s="119"/>
      <c r="K155" s="119"/>
      <c r="L155" s="2" t="s">
        <v>367</v>
      </c>
      <c r="M155" s="123"/>
      <c r="N155" s="2" t="s">
        <v>368</v>
      </c>
      <c r="O155" s="119"/>
      <c r="P155" s="2" t="s">
        <v>370</v>
      </c>
      <c r="Q155" s="119"/>
      <c r="R155" s="116" t="s">
        <v>371</v>
      </c>
      <c r="S155" s="119"/>
      <c r="T155" s="119"/>
      <c r="U155" s="119"/>
      <c r="V155" s="119"/>
      <c r="W155" s="119"/>
    </row>
    <row r="156" spans="2:23" x14ac:dyDescent="0.2">
      <c r="B156" s="221"/>
      <c r="C156" s="98" t="str">
        <f t="shared" si="4"/>
        <v>00042</v>
      </c>
      <c r="D156" s="2" t="s">
        <v>276</v>
      </c>
      <c r="E156" s="119"/>
      <c r="F156" s="119"/>
      <c r="G156" s="119"/>
      <c r="H156" s="119"/>
      <c r="I156" s="119"/>
      <c r="J156" s="119"/>
      <c r="K156" s="119"/>
      <c r="L156" s="2" t="s">
        <v>367</v>
      </c>
      <c r="M156" s="123"/>
      <c r="N156" s="2" t="s">
        <v>368</v>
      </c>
      <c r="O156" s="119"/>
      <c r="P156" s="2" t="s">
        <v>370</v>
      </c>
      <c r="Q156" s="119"/>
      <c r="R156" s="116" t="s">
        <v>371</v>
      </c>
      <c r="S156" s="119"/>
      <c r="T156" s="119"/>
      <c r="U156" s="119"/>
      <c r="V156" s="119"/>
      <c r="W156" s="119"/>
    </row>
    <row r="157" spans="2:23" x14ac:dyDescent="0.2">
      <c r="B157" s="221"/>
      <c r="C157" s="98" t="str">
        <f t="shared" si="4"/>
        <v>00043</v>
      </c>
      <c r="D157" s="2" t="s">
        <v>276</v>
      </c>
      <c r="E157" s="119"/>
      <c r="F157" s="119"/>
      <c r="G157" s="119"/>
      <c r="H157" s="119"/>
      <c r="I157" s="119"/>
      <c r="J157" s="119"/>
      <c r="K157" s="119"/>
      <c r="L157" s="2" t="s">
        <v>367</v>
      </c>
      <c r="M157" s="123"/>
      <c r="N157" s="2" t="s">
        <v>368</v>
      </c>
      <c r="O157" s="119"/>
      <c r="P157" s="2" t="s">
        <v>370</v>
      </c>
      <c r="Q157" s="119"/>
      <c r="R157" s="116" t="s">
        <v>371</v>
      </c>
      <c r="S157" s="119"/>
      <c r="T157" s="119"/>
      <c r="U157" s="119"/>
      <c r="V157" s="119"/>
      <c r="W157" s="119"/>
    </row>
    <row r="158" spans="2:23" x14ac:dyDescent="0.2">
      <c r="B158" s="221"/>
      <c r="C158" s="98" t="str">
        <f t="shared" si="4"/>
        <v>00044</v>
      </c>
      <c r="D158" s="2" t="s">
        <v>276</v>
      </c>
      <c r="E158" s="119"/>
      <c r="F158" s="119"/>
      <c r="G158" s="119"/>
      <c r="H158" s="119"/>
      <c r="I158" s="119"/>
      <c r="J158" s="119"/>
      <c r="K158" s="119"/>
      <c r="L158" s="2" t="s">
        <v>367</v>
      </c>
      <c r="M158" s="123"/>
      <c r="N158" s="2" t="s">
        <v>368</v>
      </c>
      <c r="O158" s="119"/>
      <c r="P158" s="2" t="s">
        <v>370</v>
      </c>
      <c r="Q158" s="119"/>
      <c r="R158" s="116" t="s">
        <v>371</v>
      </c>
      <c r="S158" s="119"/>
      <c r="T158" s="119"/>
      <c r="U158" s="119"/>
      <c r="V158" s="119"/>
      <c r="W158" s="119"/>
    </row>
    <row r="159" spans="2:23" x14ac:dyDescent="0.2">
      <c r="B159" s="221"/>
      <c r="C159" s="98" t="str">
        <f t="shared" si="4"/>
        <v>00045</v>
      </c>
      <c r="D159" s="2" t="s">
        <v>276</v>
      </c>
      <c r="E159" s="119"/>
      <c r="F159" s="119"/>
      <c r="G159" s="119"/>
      <c r="H159" s="119"/>
      <c r="I159" s="119"/>
      <c r="J159" s="119"/>
      <c r="K159" s="119"/>
      <c r="L159" s="2" t="s">
        <v>367</v>
      </c>
      <c r="M159" s="123"/>
      <c r="N159" s="2" t="s">
        <v>368</v>
      </c>
      <c r="O159" s="119"/>
      <c r="P159" s="2" t="s">
        <v>370</v>
      </c>
      <c r="Q159" s="119"/>
      <c r="R159" s="116" t="s">
        <v>371</v>
      </c>
      <c r="S159" s="119"/>
      <c r="T159" s="119"/>
      <c r="U159" s="119"/>
      <c r="V159" s="119"/>
      <c r="W159" s="119"/>
    </row>
    <row r="160" spans="2:23" x14ac:dyDescent="0.2">
      <c r="B160" s="221"/>
      <c r="C160" s="98" t="str">
        <f t="shared" si="4"/>
        <v>00046</v>
      </c>
      <c r="D160" s="2" t="s">
        <v>276</v>
      </c>
      <c r="E160" s="119"/>
      <c r="F160" s="119"/>
      <c r="G160" s="119"/>
      <c r="H160" s="119"/>
      <c r="I160" s="119"/>
      <c r="J160" s="119"/>
      <c r="K160" s="119"/>
      <c r="L160" s="2" t="s">
        <v>367</v>
      </c>
      <c r="M160" s="123"/>
      <c r="N160" s="2" t="s">
        <v>368</v>
      </c>
      <c r="O160" s="119"/>
      <c r="P160" s="2" t="s">
        <v>370</v>
      </c>
      <c r="Q160" s="119"/>
      <c r="R160" s="116" t="s">
        <v>371</v>
      </c>
      <c r="S160" s="119"/>
      <c r="T160" s="119"/>
      <c r="U160" s="119"/>
      <c r="V160" s="119"/>
      <c r="W160" s="119"/>
    </row>
    <row r="161" spans="2:23" x14ac:dyDescent="0.2">
      <c r="B161" s="221"/>
      <c r="C161" s="98" t="str">
        <f t="shared" si="4"/>
        <v>00047</v>
      </c>
      <c r="D161" s="2" t="s">
        <v>276</v>
      </c>
      <c r="E161" s="119"/>
      <c r="F161" s="119"/>
      <c r="G161" s="119"/>
      <c r="H161" s="119"/>
      <c r="I161" s="119"/>
      <c r="J161" s="119"/>
      <c r="K161" s="119"/>
      <c r="L161" s="2" t="s">
        <v>367</v>
      </c>
      <c r="M161" s="123"/>
      <c r="N161" s="2" t="s">
        <v>368</v>
      </c>
      <c r="O161" s="119"/>
      <c r="P161" s="2" t="s">
        <v>370</v>
      </c>
      <c r="Q161" s="119"/>
      <c r="R161" s="116" t="s">
        <v>371</v>
      </c>
      <c r="S161" s="119"/>
      <c r="T161" s="119"/>
      <c r="U161" s="119"/>
      <c r="V161" s="119"/>
      <c r="W161" s="119"/>
    </row>
    <row r="162" spans="2:23" x14ac:dyDescent="0.2">
      <c r="B162" s="221"/>
      <c r="C162" s="98" t="str">
        <f t="shared" si="4"/>
        <v>00048</v>
      </c>
      <c r="D162" s="2" t="s">
        <v>276</v>
      </c>
      <c r="E162" s="119"/>
      <c r="F162" s="119"/>
      <c r="G162" s="119"/>
      <c r="H162" s="119"/>
      <c r="I162" s="119"/>
      <c r="J162" s="119"/>
      <c r="K162" s="119"/>
      <c r="L162" s="2" t="s">
        <v>367</v>
      </c>
      <c r="M162" s="123"/>
      <c r="N162" s="2" t="s">
        <v>368</v>
      </c>
      <c r="O162" s="119"/>
      <c r="P162" s="2" t="s">
        <v>370</v>
      </c>
      <c r="Q162" s="119"/>
      <c r="R162" s="116" t="s">
        <v>371</v>
      </c>
      <c r="S162" s="119"/>
      <c r="T162" s="119"/>
      <c r="U162" s="119"/>
      <c r="V162" s="119"/>
      <c r="W162" s="119"/>
    </row>
    <row r="163" spans="2:23" x14ac:dyDescent="0.2">
      <c r="B163" s="221"/>
      <c r="C163" s="98" t="str">
        <f t="shared" si="4"/>
        <v>00049</v>
      </c>
      <c r="D163" s="2" t="s">
        <v>276</v>
      </c>
      <c r="E163" s="119"/>
      <c r="F163" s="119"/>
      <c r="G163" s="119"/>
      <c r="H163" s="119"/>
      <c r="I163" s="119"/>
      <c r="J163" s="119"/>
      <c r="K163" s="119"/>
      <c r="L163" s="2" t="s">
        <v>367</v>
      </c>
      <c r="M163" s="123"/>
      <c r="N163" s="2" t="s">
        <v>368</v>
      </c>
      <c r="O163" s="119"/>
      <c r="P163" s="2" t="s">
        <v>370</v>
      </c>
      <c r="Q163" s="119"/>
      <c r="R163" s="116" t="s">
        <v>371</v>
      </c>
      <c r="S163" s="119"/>
      <c r="T163" s="119"/>
      <c r="U163" s="119"/>
      <c r="V163" s="119"/>
      <c r="W163" s="119"/>
    </row>
    <row r="164" spans="2:23" s="113" customFormat="1" ht="13.5" thickBot="1" x14ac:dyDescent="0.25">
      <c r="B164" s="221"/>
      <c r="C164" s="115" t="str">
        <f t="shared" si="4"/>
        <v>00050</v>
      </c>
      <c r="D164" s="112" t="s">
        <v>276</v>
      </c>
      <c r="E164" s="121"/>
      <c r="F164" s="121"/>
      <c r="G164" s="121"/>
      <c r="H164" s="121"/>
      <c r="I164" s="121"/>
      <c r="J164" s="121"/>
      <c r="K164" s="121"/>
      <c r="L164" s="112" t="s">
        <v>367</v>
      </c>
      <c r="M164" s="127"/>
      <c r="N164" s="112" t="s">
        <v>368</v>
      </c>
      <c r="O164" s="121"/>
      <c r="P164" s="112" t="s">
        <v>370</v>
      </c>
      <c r="Q164" s="121"/>
      <c r="R164" s="128" t="s">
        <v>371</v>
      </c>
      <c r="S164" s="121"/>
      <c r="T164" s="121"/>
      <c r="U164" s="121"/>
      <c r="V164" s="121"/>
      <c r="W164" s="121"/>
    </row>
    <row r="165" spans="2:23" x14ac:dyDescent="0.2">
      <c r="B165" t="s">
        <v>296</v>
      </c>
      <c r="D165" s="2" t="s">
        <v>297</v>
      </c>
    </row>
  </sheetData>
  <customSheetViews>
    <customSheetView guid="{CA5DEE9B-8C07-4C66-8968-31FD351A4FB5}" scale="90" topLeftCell="A8">
      <selection activeCell="R138" sqref="R61:R138"/>
      <pageMargins left="0.7" right="0.7" top="0.78740157499999996" bottom="0.78740157499999996" header="0.3" footer="0.3"/>
      <pageSetup paperSize="9" orientation="portrait" r:id="rId1"/>
    </customSheetView>
  </customSheetViews>
  <mergeCells count="5">
    <mergeCell ref="B35:B60"/>
    <mergeCell ref="B61:B86"/>
    <mergeCell ref="B87:B112"/>
    <mergeCell ref="B113:B138"/>
    <mergeCell ref="B139:B164"/>
  </mergeCell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8</vt:i4>
      </vt:variant>
    </vt:vector>
  </HeadingPairs>
  <TitlesOfParts>
    <vt:vector size="14" baseType="lpstr">
      <vt:lpstr>Design Tool</vt:lpstr>
      <vt:lpstr>Data Sheet</vt:lpstr>
      <vt:lpstr>Berechnungen</vt:lpstr>
      <vt:lpstr>Units</vt:lpstr>
      <vt:lpstr>Quotation data</vt:lpstr>
      <vt:lpstr>Identnumbers</vt:lpstr>
      <vt:lpstr>flow</vt:lpstr>
      <vt:lpstr>FU</vt:lpstr>
      <vt:lpstr>maxoppress</vt:lpstr>
      <vt:lpstr>Maxoppress1</vt:lpstr>
      <vt:lpstr>Motor</vt:lpstr>
      <vt:lpstr>pressure</vt:lpstr>
      <vt:lpstr>RR</vt:lpstr>
      <vt:lpstr>temp</vt:lpstr>
    </vt:vector>
  </TitlesOfParts>
  <Company>KSB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Auslegungstool</dc:title>
  <dc:subject>SALINO</dc:subject>
  <dc:creator>Sven Hoffmann</dc:creator>
  <cp:keywords>RO-Desalination</cp:keywords>
  <cp:lastModifiedBy>Siegfried Schwarzer</cp:lastModifiedBy>
  <cp:lastPrinted>2017-06-19T13:50:12Z</cp:lastPrinted>
  <dcterms:created xsi:type="dcterms:W3CDTF">2011-10-28T14:26:07Z</dcterms:created>
  <dcterms:modified xsi:type="dcterms:W3CDTF">2018-03-01T10:03:15Z</dcterms:modified>
</cp:coreProperties>
</file>