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mc:AlternateContent xmlns:mc="http://schemas.openxmlformats.org/markup-compatibility/2006">
    <mc:Choice Requires="x15">
      <x15ac:absPath xmlns:x15ac="http://schemas.microsoft.com/office/spreadsheetml/2010/11/ac" url="S:\00_Salino\1 Angebote\1.11 Tool\Salino One fits All\"/>
    </mc:Choice>
  </mc:AlternateContent>
  <workbookProtection workbookAlgorithmName="SHA-512" workbookHashValue="bZtBwOjz9OXoVD9I83HzjlkFozN7jFboXHvodTy+luCwZKJ7CCKSdugPaYhozsCN5LXYqsdDMwwEsw+mcSmawA==" workbookSaltValue="oaSo+uDzxRKJVXUhqyqlxg==" workbookSpinCount="100000" lockStructure="1"/>
  <bookViews>
    <workbookView xWindow="0" yWindow="0" windowWidth="23040" windowHeight="8616" tabRatio="658" firstSheet="1" activeTab="2"/>
  </bookViews>
  <sheets>
    <sheet name="Overview_Salino_cleaned" sheetId="10" state="hidden" r:id="rId1"/>
    <sheet name="manual" sheetId="13" r:id="rId2"/>
    <sheet name="Inquiry Form" sheetId="9" r:id="rId3"/>
    <sheet name="Design Tool" sheetId="1" r:id="rId4"/>
    <sheet name="Data Sheet" sheetId="2" state="hidden" r:id="rId5"/>
    <sheet name="Flow_Characteristic" sheetId="12" state="hidden" r:id="rId6"/>
    <sheet name="Berechnungen" sheetId="3" state="hidden" r:id="rId7"/>
    <sheet name="Units" sheetId="4" state="hidden" r:id="rId8"/>
    <sheet name="IE3 Motoren" sheetId="11" state="hidden" r:id="rId9"/>
    <sheet name="Quotation data" sheetId="5" state="hidden" r:id="rId10"/>
    <sheet name="Identnumbers" sheetId="6" state="hidden" r:id="rId11"/>
  </sheets>
  <definedNames>
    <definedName name="_xlnm.Print_Area" localSheetId="3">'Design Tool'!$A$1:$Q$38</definedName>
    <definedName name="_xlnm.Print_Area" localSheetId="2">'Inquiry Form'!$A$1:$L$32</definedName>
    <definedName name="flow" localSheetId="8">#REF!</definedName>
    <definedName name="flow" localSheetId="0">#REF!</definedName>
    <definedName name="flow">Berechnungen!#REF!</definedName>
    <definedName name="FU" localSheetId="8">#REF!</definedName>
    <definedName name="FU">Berechnungen!$C$95:$C$97</definedName>
    <definedName name="maxoppress" localSheetId="8">#REF!</definedName>
    <definedName name="maxoppress">Berechnungen!$F$51:$F$52</definedName>
    <definedName name="Motor" localSheetId="8">#REF!</definedName>
    <definedName name="Motor">Berechnungen!$C$89:$C$91</definedName>
    <definedName name="pressure" localSheetId="8">#REF!</definedName>
    <definedName name="pressure" localSheetId="0">#REF!</definedName>
    <definedName name="pressure">Berechnungen!#REF!</definedName>
    <definedName name="Recovery_Rate" localSheetId="8">#REF!</definedName>
    <definedName name="Recovery_Rate">Berechnungen!$C$50:$C$56</definedName>
    <definedName name="RR" localSheetId="8">#REF!</definedName>
    <definedName name="RR">Berechnungen!$C$50:$C$85</definedName>
    <definedName name="temp" localSheetId="8">#REF!</definedName>
    <definedName name="temp" localSheetId="0">#REF!</definedName>
    <definedName name="temp">Berechnungen!#REF!</definedName>
    <definedName name="Z_CA5DEE9B_8C07_4C66_8968_31FD351A4FB5_.wvu.Cols" localSheetId="4" hidden="1">'Data Sheet'!$K:$XFD</definedName>
    <definedName name="Z_CA5DEE9B_8C07_4C66_8968_31FD351A4FB5_.wvu.Cols" localSheetId="3" hidden="1">'Design Tool'!$C:$C,'Design Tool'!$R:$XFB</definedName>
    <definedName name="Z_CA5DEE9B_8C07_4C66_8968_31FD351A4FB5_.wvu.Cols" localSheetId="9" hidden="1">'Quotation data'!$H:$XFD</definedName>
    <definedName name="Z_CA5DEE9B_8C07_4C66_8968_31FD351A4FB5_.wvu.Rows" localSheetId="4" hidden="1">'Data Sheet'!$70:$1048576,'Data Sheet'!$69:$69</definedName>
    <definedName name="Z_CA5DEE9B_8C07_4C66_8968_31FD351A4FB5_.wvu.Rows" localSheetId="3" hidden="1">'Design Tool'!$40:$1048576,'Design Tool'!$39:$39</definedName>
    <definedName name="Z_CA5DEE9B_8C07_4C66_8968_31FD351A4FB5_.wvu.Rows" localSheetId="9" hidden="1">'Quotation data'!$47:$1048576,'Quotation data'!$42:$46</definedName>
  </definedNames>
  <calcPr calcId="162913"/>
  <customWorkbookViews>
    <customWorkbookView name="wieland1 - Persönliche Ansicht" guid="{CA5DEE9B-8C07-4C66-8968-31FD351A4FB5}" mergeInterval="0" personalView="1" maximized="1" xWindow="1" yWindow="1" windowWidth="1276" windowHeight="794" tabRatio="658" activeSheetId="6"/>
  </customWorkbookViews>
</workbook>
</file>

<file path=xl/calcChain.xml><?xml version="1.0" encoding="utf-8"?>
<calcChain xmlns="http://schemas.openxmlformats.org/spreadsheetml/2006/main">
  <c r="D11" i="1" l="1"/>
  <c r="D22" i="9" l="1"/>
  <c r="H4" i="1"/>
  <c r="C147" i="6" l="1"/>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F32" i="5"/>
  <c r="B32" i="5"/>
  <c r="F29" i="5"/>
  <c r="B29" i="5"/>
  <c r="F26" i="5"/>
  <c r="B26" i="5"/>
  <c r="F23" i="5"/>
  <c r="B23" i="5"/>
  <c r="F14" i="5"/>
  <c r="B14" i="5"/>
  <c r="C10" i="5"/>
  <c r="E7" i="4"/>
  <c r="C5" i="4"/>
  <c r="E4" i="4"/>
  <c r="F156" i="3"/>
  <c r="H148" i="3"/>
  <c r="H147" i="3"/>
  <c r="H146" i="3"/>
  <c r="H145" i="3"/>
  <c r="T82" i="3"/>
  <c r="U82" i="3" s="1"/>
  <c r="V82" i="3" s="1"/>
  <c r="W82" i="3" s="1"/>
  <c r="X82" i="3" s="1"/>
  <c r="Y82" i="3" s="1"/>
  <c r="J82" i="3"/>
  <c r="K82" i="3" s="1"/>
  <c r="L82" i="3" s="1"/>
  <c r="M82" i="3" s="1"/>
  <c r="N82" i="3" s="1"/>
  <c r="O82" i="3" s="1"/>
  <c r="T81" i="3"/>
  <c r="U81" i="3" s="1"/>
  <c r="V81" i="3" s="1"/>
  <c r="W81" i="3" s="1"/>
  <c r="X81" i="3" s="1"/>
  <c r="Y81" i="3" s="1"/>
  <c r="J81" i="3"/>
  <c r="K81" i="3" s="1"/>
  <c r="L81" i="3" s="1"/>
  <c r="M81" i="3" s="1"/>
  <c r="N81" i="3" s="1"/>
  <c r="O81" i="3" s="1"/>
  <c r="G52" i="3"/>
  <c r="G51" i="3"/>
  <c r="G36" i="3"/>
  <c r="P35" i="1" s="1"/>
  <c r="J32" i="3"/>
  <c r="E32" i="3"/>
  <c r="J31" i="3"/>
  <c r="E31" i="3"/>
  <c r="J28" i="3"/>
  <c r="E28" i="3"/>
  <c r="J27" i="3"/>
  <c r="E27" i="3"/>
  <c r="J26" i="3"/>
  <c r="E26" i="3"/>
  <c r="J25" i="3"/>
  <c r="E25" i="3"/>
  <c r="J24" i="3"/>
  <c r="E24" i="3"/>
  <c r="E18" i="3"/>
  <c r="D17" i="3"/>
  <c r="E14" i="3"/>
  <c r="D14" i="3"/>
  <c r="E13" i="3"/>
  <c r="E11" i="3"/>
  <c r="E10" i="3"/>
  <c r="E9" i="3"/>
  <c r="E8" i="3"/>
  <c r="D8" i="3"/>
  <c r="I23" i="3" s="1"/>
  <c r="E7" i="3"/>
  <c r="B2" i="3"/>
  <c r="A18" i="12"/>
  <c r="E46" i="2"/>
  <c r="F44" i="2"/>
  <c r="F40" i="2"/>
  <c r="F38" i="2"/>
  <c r="F32" i="2"/>
  <c r="F30" i="2"/>
  <c r="F28" i="2"/>
  <c r="F20" i="2"/>
  <c r="E20" i="2"/>
  <c r="F18" i="2"/>
  <c r="E18" i="2"/>
  <c r="F16" i="2"/>
  <c r="E16" i="2"/>
  <c r="F14" i="2"/>
  <c r="E14" i="2"/>
  <c r="F12" i="2"/>
  <c r="E12" i="2"/>
  <c r="C5" i="2"/>
  <c r="E31" i="1"/>
  <c r="F8" i="9" s="1"/>
  <c r="D31" i="1"/>
  <c r="D11" i="3" s="1"/>
  <c r="Q30" i="1"/>
  <c r="I30" i="1" s="1"/>
  <c r="D30" i="1"/>
  <c r="D12" i="3" s="1"/>
  <c r="G29" i="1"/>
  <c r="B29" i="1"/>
  <c r="D16" i="3"/>
  <c r="I24" i="1"/>
  <c r="E24" i="1"/>
  <c r="U23" i="1"/>
  <c r="V30" i="1" s="1"/>
  <c r="U30" i="1" s="1"/>
  <c r="I23" i="1"/>
  <c r="E23" i="1"/>
  <c r="U22" i="1"/>
  <c r="E52" i="2"/>
  <c r="Q20" i="1"/>
  <c r="F15" i="9" s="1"/>
  <c r="P20" i="1"/>
  <c r="E44" i="2" s="1"/>
  <c r="Q19" i="1"/>
  <c r="P19" i="1"/>
  <c r="D10" i="3" s="1"/>
  <c r="D9" i="3" s="1"/>
  <c r="I16" i="1"/>
  <c r="Q15" i="1"/>
  <c r="I15" i="1"/>
  <c r="Q14" i="1"/>
  <c r="Q13" i="1"/>
  <c r="Q12" i="1"/>
  <c r="Q11" i="1"/>
  <c r="E11" i="1"/>
  <c r="E30" i="2"/>
  <c r="E10" i="1"/>
  <c r="F19" i="9" s="1"/>
  <c r="O8" i="1"/>
  <c r="F16" i="9" s="1"/>
  <c r="D6" i="3"/>
  <c r="P3" i="1"/>
  <c r="N3" i="1"/>
  <c r="O2" i="1"/>
  <c r="J32" i="9"/>
  <c r="F21" i="9"/>
  <c r="F22" i="9" s="1"/>
  <c r="D21" i="9"/>
  <c r="B20" i="9"/>
  <c r="B18" i="9"/>
  <c r="B16" i="9"/>
  <c r="B15" i="9"/>
  <c r="F14" i="9"/>
  <c r="F9" i="9"/>
  <c r="K23" i="10"/>
  <c r="BQ21" i="10"/>
  <c r="BQ22" i="10" s="1"/>
  <c r="BQ23" i="10" s="1"/>
  <c r="BP21" i="10"/>
  <c r="BP22" i="10" s="1"/>
  <c r="BP23" i="10" s="1"/>
  <c r="BO21" i="10"/>
  <c r="BO22" i="10" s="1"/>
  <c r="BO23" i="10" s="1"/>
  <c r="BN21" i="10"/>
  <c r="BN22" i="10" s="1"/>
  <c r="BN23" i="10" s="1"/>
  <c r="BM21" i="10"/>
  <c r="BM22" i="10" s="1"/>
  <c r="BM23" i="10" s="1"/>
  <c r="BL21" i="10"/>
  <c r="BL22" i="10" s="1"/>
  <c r="BL23" i="10" s="1"/>
  <c r="BK21" i="10"/>
  <c r="BK22" i="10" s="1"/>
  <c r="BK23" i="10" s="1"/>
  <c r="BJ21" i="10"/>
  <c r="BJ22" i="10" s="1"/>
  <c r="BJ23" i="10" s="1"/>
  <c r="BI21" i="10"/>
  <c r="BI22" i="10" s="1"/>
  <c r="BI23" i="10" s="1"/>
  <c r="BH21" i="10"/>
  <c r="BH22" i="10" s="1"/>
  <c r="BH23" i="10" s="1"/>
  <c r="BG21" i="10"/>
  <c r="BG22" i="10" s="1"/>
  <c r="BG23" i="10" s="1"/>
  <c r="BF21" i="10"/>
  <c r="BF22" i="10" s="1"/>
  <c r="BF23" i="10" s="1"/>
  <c r="BE21" i="10"/>
  <c r="BE22" i="10" s="1"/>
  <c r="BE23" i="10" s="1"/>
  <c r="BD21" i="10"/>
  <c r="BD22" i="10" s="1"/>
  <c r="BD23" i="10" s="1"/>
  <c r="BC21" i="10"/>
  <c r="BC22" i="10" s="1"/>
  <c r="BC23" i="10" s="1"/>
  <c r="BB21" i="10"/>
  <c r="BB22" i="10" s="1"/>
  <c r="BB23" i="10" s="1"/>
  <c r="BA21" i="10"/>
  <c r="BA22" i="10" s="1"/>
  <c r="BA23" i="10" s="1"/>
  <c r="AZ21" i="10"/>
  <c r="AZ22" i="10" s="1"/>
  <c r="AZ23" i="10" s="1"/>
  <c r="AY21" i="10"/>
  <c r="AY22" i="10" s="1"/>
  <c r="AY23" i="10" s="1"/>
  <c r="AX21" i="10"/>
  <c r="AX22" i="10" s="1"/>
  <c r="AX23" i="10" s="1"/>
  <c r="AW21" i="10"/>
  <c r="AW22" i="10" s="1"/>
  <c r="AW23" i="10" s="1"/>
  <c r="AV21" i="10"/>
  <c r="AV22" i="10" s="1"/>
  <c r="AV23" i="10" s="1"/>
  <c r="AU21" i="10"/>
  <c r="AU22" i="10" s="1"/>
  <c r="AU23" i="10" s="1"/>
  <c r="AT21" i="10"/>
  <c r="AT22" i="10" s="1"/>
  <c r="AT23" i="10" s="1"/>
  <c r="K21"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K20" i="10"/>
  <c r="BQ14" i="10"/>
  <c r="BQ15" i="10" s="1"/>
  <c r="BE14" i="10"/>
  <c r="BE15" i="10" s="1"/>
  <c r="BQ13" i="10"/>
  <c r="BP13" i="10"/>
  <c r="BP14" i="10" s="1"/>
  <c r="BP15" i="10" s="1"/>
  <c r="BO13" i="10"/>
  <c r="BO14" i="10" s="1"/>
  <c r="BO15" i="10" s="1"/>
  <c r="BN13" i="10"/>
  <c r="BN14" i="10" s="1"/>
  <c r="BN15" i="10" s="1"/>
  <c r="BM13" i="10"/>
  <c r="BM14" i="10" s="1"/>
  <c r="BM15" i="10" s="1"/>
  <c r="BL13" i="10"/>
  <c r="BL14" i="10" s="1"/>
  <c r="BL15" i="10" s="1"/>
  <c r="BK13" i="10"/>
  <c r="BK14" i="10" s="1"/>
  <c r="BJ13" i="10"/>
  <c r="BJ14" i="10" s="1"/>
  <c r="BJ15" i="10" s="1"/>
  <c r="BI13" i="10"/>
  <c r="BI14" i="10" s="1"/>
  <c r="BI15" i="10" s="1"/>
  <c r="BH13" i="10"/>
  <c r="BH14" i="10" s="1"/>
  <c r="BH15" i="10" s="1"/>
  <c r="BG13" i="10"/>
  <c r="BG14" i="10" s="1"/>
  <c r="BF13" i="10"/>
  <c r="BF14" i="10" s="1"/>
  <c r="BF15" i="10" s="1"/>
  <c r="BE13" i="10"/>
  <c r="BD13" i="10"/>
  <c r="BD14" i="10" s="1"/>
  <c r="BD15" i="10" s="1"/>
  <c r="BC13" i="10"/>
  <c r="BC15" i="10" s="1"/>
  <c r="BB13" i="10"/>
  <c r="BB14" i="10" s="1"/>
  <c r="BB15" i="10" s="1"/>
  <c r="BA13" i="10"/>
  <c r="BA14" i="10" s="1"/>
  <c r="BA15" i="10" s="1"/>
  <c r="AZ13" i="10"/>
  <c r="AZ14" i="10" s="1"/>
  <c r="AZ15" i="10" s="1"/>
  <c r="AY13" i="10"/>
  <c r="AY15" i="10" s="1"/>
  <c r="AX13" i="10"/>
  <c r="AX14" i="10" s="1"/>
  <c r="AX15" i="10" s="1"/>
  <c r="AW13" i="10"/>
  <c r="AW14" i="10" s="1"/>
  <c r="AW15" i="10" s="1"/>
  <c r="AV13" i="10"/>
  <c r="AV14" i="10" s="1"/>
  <c r="AV15" i="10" s="1"/>
  <c r="AU13" i="10"/>
  <c r="AU14" i="10" s="1"/>
  <c r="AT13" i="10"/>
  <c r="AT14" i="10" s="1"/>
  <c r="AT15" i="10" s="1"/>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B11" i="10"/>
  <c r="C11" i="10" s="1"/>
  <c r="D11" i="10" s="1"/>
  <c r="E11" i="10" s="1"/>
  <c r="F11" i="10" s="1"/>
  <c r="G11" i="10" s="1"/>
  <c r="H11" i="10" s="1"/>
  <c r="I11" i="10" s="1"/>
  <c r="J11" i="10" s="1"/>
  <c r="K11" i="10" s="1"/>
  <c r="L11" i="10" s="1"/>
  <c r="M11" i="10" s="1"/>
  <c r="N11" i="10" s="1"/>
  <c r="O11" i="10" s="1"/>
  <c r="P11" i="10" s="1"/>
  <c r="Q11" i="10" s="1"/>
  <c r="R11" i="10" s="1"/>
  <c r="S11" i="10" s="1"/>
  <c r="T11" i="10" s="1"/>
  <c r="U11" i="10" s="1"/>
  <c r="V11" i="10" s="1"/>
  <c r="W11" i="10" s="1"/>
  <c r="X11" i="10" s="1"/>
  <c r="Y11" i="10" s="1"/>
  <c r="Z11" i="10" s="1"/>
  <c r="AA11" i="10" s="1"/>
  <c r="AB11" i="10" s="1"/>
  <c r="AC11" i="10" s="1"/>
  <c r="AD11" i="10" s="1"/>
  <c r="AE11" i="10" s="1"/>
  <c r="AF11" i="10" s="1"/>
  <c r="AG11" i="10" s="1"/>
  <c r="AH11" i="10" s="1"/>
  <c r="AI11" i="10" s="1"/>
  <c r="AJ11" i="10" s="1"/>
  <c r="AK11" i="10" s="1"/>
  <c r="AL11" i="10" s="1"/>
  <c r="AM11" i="10" s="1"/>
  <c r="AN11" i="10" s="1"/>
  <c r="AO11" i="10" s="1"/>
  <c r="AP11" i="10" s="1"/>
  <c r="AQ11" i="10" s="1"/>
  <c r="AR11" i="10" s="1"/>
  <c r="AS11" i="10" s="1"/>
  <c r="U24" i="1" l="1"/>
  <c r="AT11" i="10"/>
  <c r="AU11" i="10" s="1"/>
  <c r="AV11" i="10" s="1"/>
  <c r="AW11" i="10" s="1"/>
  <c r="AX11" i="10" s="1"/>
  <c r="AY11" i="10" s="1"/>
  <c r="AZ11" i="10" s="1"/>
  <c r="BA11" i="10" s="1"/>
  <c r="BB11" i="10" s="1"/>
  <c r="BC11" i="10" s="1"/>
  <c r="BD11" i="10" s="1"/>
  <c r="BE11" i="10" s="1"/>
  <c r="BF11" i="10" s="1"/>
  <c r="BG11" i="10" s="1"/>
  <c r="BH11" i="10" s="1"/>
  <c r="BI11" i="10" s="1"/>
  <c r="BJ11" i="10" s="1"/>
  <c r="BK11" i="10" s="1"/>
  <c r="BL11" i="10" s="1"/>
  <c r="BM11" i="10" s="1"/>
  <c r="BN11" i="10" s="1"/>
  <c r="BO11" i="10" s="1"/>
  <c r="BP11" i="10" s="1"/>
  <c r="BQ11" i="10" s="1"/>
  <c r="BR11" i="10" s="1"/>
  <c r="BS11" i="10" s="1"/>
  <c r="BT11" i="10" s="1"/>
  <c r="BU11" i="10" s="1"/>
  <c r="BV11" i="10" s="1"/>
  <c r="BW11" i="10" s="1"/>
  <c r="BX11" i="10" s="1"/>
  <c r="BY11" i="10" s="1"/>
  <c r="BZ11" i="10" s="1"/>
  <c r="CA11" i="10" s="1"/>
  <c r="CB11" i="10" s="1"/>
  <c r="CC11" i="10" s="1"/>
  <c r="CD11" i="10" s="1"/>
  <c r="CE11" i="10" s="1"/>
  <c r="CF11" i="10" s="1"/>
  <c r="CG11" i="10" s="1"/>
  <c r="CH11" i="10" s="1"/>
  <c r="AU15" i="10"/>
  <c r="AU16" i="10"/>
  <c r="AU17" i="10" s="1"/>
  <c r="AU18" i="10" s="1"/>
  <c r="AU19" i="10" s="1"/>
  <c r="BG15" i="10"/>
  <c r="BG16" i="10"/>
  <c r="BG17" i="10" s="1"/>
  <c r="BG18" i="10" s="1"/>
  <c r="BG19" i="10" s="1"/>
  <c r="BK15" i="10"/>
  <c r="BK16" i="10"/>
  <c r="BK17" i="10" s="1"/>
  <c r="BK18" i="10" s="1"/>
  <c r="BK19" i="10" s="1"/>
  <c r="C51" i="12"/>
  <c r="AY14" i="10"/>
  <c r="AY16" i="10" s="1"/>
  <c r="AY17" i="10" s="1"/>
  <c r="AY18" i="10" s="1"/>
  <c r="AY19" i="10" s="1"/>
  <c r="BC14" i="10"/>
  <c r="D81" i="3"/>
  <c r="P15" i="1" s="1"/>
  <c r="BO16" i="10"/>
  <c r="BO17" i="10" s="1"/>
  <c r="BO18" i="10" s="1"/>
  <c r="BO19" i="10" s="1"/>
  <c r="BC16" i="10"/>
  <c r="BC17" i="10" s="1"/>
  <c r="BC18" i="10" s="1"/>
  <c r="BC19" i="10" s="1"/>
  <c r="AV16" i="10"/>
  <c r="AV17" i="10" s="1"/>
  <c r="AV18" i="10" s="1"/>
  <c r="AV19" i="10" s="1"/>
  <c r="AZ16" i="10"/>
  <c r="AZ17" i="10" s="1"/>
  <c r="AZ18" i="10" s="1"/>
  <c r="AZ19" i="10" s="1"/>
  <c r="BD16" i="10"/>
  <c r="BD17" i="10" s="1"/>
  <c r="BD18" i="10" s="1"/>
  <c r="BD19" i="10" s="1"/>
  <c r="BH16" i="10"/>
  <c r="BH17" i="10" s="1"/>
  <c r="BH18" i="10" s="1"/>
  <c r="BH19" i="10" s="1"/>
  <c r="BL16" i="10"/>
  <c r="BL17" i="10" s="1"/>
  <c r="BL18" i="10" s="1"/>
  <c r="BL19" i="10" s="1"/>
  <c r="BP16" i="10"/>
  <c r="BP17" i="10" s="1"/>
  <c r="BP18" i="10" s="1"/>
  <c r="BP19" i="10" s="1"/>
  <c r="AW16" i="10"/>
  <c r="AW17" i="10" s="1"/>
  <c r="AW18" i="10" s="1"/>
  <c r="AW19" i="10" s="1"/>
  <c r="BA16" i="10"/>
  <c r="BA17" i="10" s="1"/>
  <c r="BA18" i="10" s="1"/>
  <c r="BA19" i="10" s="1"/>
  <c r="BE16" i="10"/>
  <c r="BE17" i="10" s="1"/>
  <c r="BE18" i="10" s="1"/>
  <c r="BE19" i="10" s="1"/>
  <c r="BI16" i="10"/>
  <c r="BI17" i="10" s="1"/>
  <c r="BI18" i="10" s="1"/>
  <c r="BI19" i="10" s="1"/>
  <c r="BM16" i="10"/>
  <c r="BM17" i="10" s="1"/>
  <c r="BM18" i="10" s="1"/>
  <c r="BM19" i="10" s="1"/>
  <c r="BQ16" i="10"/>
  <c r="BQ17" i="10" s="1"/>
  <c r="BQ18" i="10" s="1"/>
  <c r="BQ19" i="10" s="1"/>
  <c r="AT16" i="10"/>
  <c r="AT17" i="10" s="1"/>
  <c r="AT18" i="10" s="1"/>
  <c r="AT19" i="10" s="1"/>
  <c r="AX16" i="10"/>
  <c r="AX17" i="10" s="1"/>
  <c r="AX18" i="10" s="1"/>
  <c r="AX19" i="10" s="1"/>
  <c r="BB16" i="10"/>
  <c r="BB17" i="10" s="1"/>
  <c r="BB18" i="10" s="1"/>
  <c r="BB19" i="10" s="1"/>
  <c r="BF16" i="10"/>
  <c r="BF17" i="10" s="1"/>
  <c r="BF18" i="10" s="1"/>
  <c r="BF19" i="10" s="1"/>
  <c r="BJ16" i="10"/>
  <c r="BJ17" i="10" s="1"/>
  <c r="BJ18" i="10" s="1"/>
  <c r="BJ19" i="10" s="1"/>
  <c r="BN16" i="10"/>
  <c r="BN17" i="10" s="1"/>
  <c r="BN18" i="10" s="1"/>
  <c r="BN19" i="10" s="1"/>
  <c r="E26" i="2"/>
  <c r="C12" i="5"/>
  <c r="D18" i="12"/>
  <c r="C55" i="3" a="1"/>
  <c r="C55" i="3" s="1"/>
  <c r="C50" i="12"/>
  <c r="B18" i="12"/>
  <c r="D13" i="3"/>
  <c r="I32" i="3" s="1"/>
  <c r="C48" i="12"/>
  <c r="I46" i="3"/>
  <c r="D77" i="3"/>
  <c r="P14" i="1" s="1"/>
  <c r="D24" i="3"/>
  <c r="I24" i="3"/>
  <c r="D15" i="3"/>
  <c r="J7" i="3"/>
  <c r="C50" i="3" a="1"/>
  <c r="C50" i="3" s="1"/>
  <c r="D74" i="3"/>
  <c r="F61" i="3"/>
  <c r="C59" i="3" a="1"/>
  <c r="C59" i="3" s="1"/>
  <c r="I49" i="3"/>
  <c r="J8" i="3"/>
  <c r="P26" i="1" s="1"/>
  <c r="E4" i="3"/>
  <c r="D1" i="12" s="1"/>
  <c r="D86" i="3"/>
  <c r="H31" i="1" s="1"/>
  <c r="D83" i="3"/>
  <c r="P17" i="1" s="1"/>
  <c r="O53" i="3" s="1"/>
  <c r="O79" i="3" s="1"/>
  <c r="D80" i="3"/>
  <c r="D73" i="3"/>
  <c r="C57" i="3" a="1"/>
  <c r="C57" i="3" s="1"/>
  <c r="C54" i="3" a="1"/>
  <c r="C54" i="3" s="1"/>
  <c r="C52" i="3" a="1"/>
  <c r="C52" i="3" s="1"/>
  <c r="C51" i="3" a="1"/>
  <c r="C51" i="3" s="1"/>
  <c r="I48" i="3"/>
  <c r="J9" i="3"/>
  <c r="E3" i="3"/>
  <c r="A1" i="1" s="1"/>
  <c r="D82" i="3"/>
  <c r="P16" i="1" s="1"/>
  <c r="I53" i="3" s="1"/>
  <c r="B80" i="3"/>
  <c r="D78" i="3"/>
  <c r="D72" i="3"/>
  <c r="P12" i="1" s="1"/>
  <c r="C60" i="3" a="1"/>
  <c r="C60" i="3" s="1"/>
  <c r="C58" i="3" a="1"/>
  <c r="C58" i="3" s="1"/>
  <c r="C56" i="3" a="1"/>
  <c r="C56" i="3" s="1"/>
  <c r="C53" i="3" a="1"/>
  <c r="C53" i="3" s="1"/>
  <c r="J6" i="3"/>
  <c r="C2" i="3"/>
  <c r="D84" i="3"/>
  <c r="E32" i="2"/>
  <c r="E54" i="2"/>
  <c r="E18" i="12"/>
  <c r="C49" i="12"/>
  <c r="D7" i="3"/>
  <c r="E24" i="2"/>
  <c r="C18" i="12"/>
  <c r="I54" i="3" l="1"/>
  <c r="I123" i="3"/>
  <c r="D34" i="3"/>
  <c r="I79" i="3"/>
  <c r="J53" i="3"/>
  <c r="K53" i="3" s="1"/>
  <c r="L53" i="3" s="1"/>
  <c r="M53" i="3" s="1"/>
  <c r="N53" i="3" s="1"/>
  <c r="F88" i="3"/>
  <c r="F65" i="3"/>
  <c r="I55" i="3"/>
  <c r="J54" i="3"/>
  <c r="O143" i="3"/>
  <c r="O144" i="3" s="1"/>
  <c r="Y79" i="3"/>
  <c r="Y80" i="3" s="1"/>
  <c r="R80" i="3" s="1"/>
  <c r="H80" i="3" s="1"/>
  <c r="I47" i="3"/>
  <c r="I29" i="3"/>
  <c r="I26" i="3"/>
  <c r="I25" i="3"/>
  <c r="I27" i="3" s="1"/>
  <c r="I34" i="3"/>
  <c r="F84" i="3"/>
  <c r="D32" i="3"/>
  <c r="H16" i="1" s="1"/>
  <c r="A17" i="12"/>
  <c r="D29" i="3"/>
  <c r="D25" i="3"/>
  <c r="H84" i="3" l="1"/>
  <c r="O80" i="3"/>
  <c r="G54" i="3"/>
  <c r="D30" i="3" s="1"/>
  <c r="I35" i="3"/>
  <c r="I40" i="3" s="1"/>
  <c r="H83" i="3"/>
  <c r="F111" i="3"/>
  <c r="F92" i="3"/>
  <c r="J55" i="3"/>
  <c r="K54" i="3"/>
  <c r="D35" i="3"/>
  <c r="C46" i="12"/>
  <c r="C47" i="12"/>
  <c r="I28" i="3"/>
  <c r="O148" i="3"/>
  <c r="O147" i="3"/>
  <c r="O146" i="3"/>
  <c r="O145" i="3"/>
  <c r="M56" i="3"/>
  <c r="I56" i="3"/>
  <c r="L56" i="3"/>
  <c r="O56" i="3"/>
  <c r="K56" i="3"/>
  <c r="J56" i="3"/>
  <c r="N56" i="3"/>
  <c r="J79" i="3"/>
  <c r="I143" i="3"/>
  <c r="S79" i="3"/>
  <c r="I80" i="3"/>
  <c r="P28" i="1" l="1"/>
  <c r="I51" i="3" s="1"/>
  <c r="P79" i="3"/>
  <c r="P80" i="3" s="1"/>
  <c r="E42" i="2"/>
  <c r="D26" i="3"/>
  <c r="D27" i="3"/>
  <c r="J80" i="3"/>
  <c r="K79" i="3"/>
  <c r="F40" i="3"/>
  <c r="D40" i="3"/>
  <c r="I42" i="3"/>
  <c r="I41" i="3"/>
  <c r="J143" i="3"/>
  <c r="I144" i="3"/>
  <c r="L54" i="3"/>
  <c r="K55" i="3"/>
  <c r="T79" i="3"/>
  <c r="S80" i="3"/>
  <c r="I30" i="3"/>
  <c r="F115" i="3"/>
  <c r="F129" i="3"/>
  <c r="D28" i="3" l="1"/>
  <c r="T80" i="3"/>
  <c r="U79" i="3"/>
  <c r="J144" i="3"/>
  <c r="K143" i="3"/>
  <c r="F133" i="3"/>
  <c r="F152" i="3"/>
  <c r="K80" i="3"/>
  <c r="L79" i="3"/>
  <c r="L55" i="3"/>
  <c r="M54" i="3"/>
  <c r="I148" i="3"/>
  <c r="I147" i="3"/>
  <c r="I146" i="3"/>
  <c r="I145" i="3"/>
  <c r="D42" i="3"/>
  <c r="D41" i="3"/>
  <c r="E20" i="9"/>
  <c r="V31" i="1"/>
  <c r="U31" i="1"/>
  <c r="G34" i="1"/>
  <c r="F57" i="3" s="1"/>
  <c r="P11" i="1"/>
  <c r="D24" i="1" s="1"/>
  <c r="D18" i="3" s="1"/>
  <c r="I31" i="3" l="1"/>
  <c r="I33" i="3" s="1"/>
  <c r="I36" i="3" s="1"/>
  <c r="I37" i="3" s="1"/>
  <c r="I38" i="3" s="1"/>
  <c r="I39" i="3" s="1"/>
  <c r="D31" i="3"/>
  <c r="D33" i="3" s="1"/>
  <c r="D36" i="3" s="1"/>
  <c r="D37" i="3" s="1"/>
  <c r="E56" i="2" s="1"/>
  <c r="J148" i="3"/>
  <c r="J147" i="3"/>
  <c r="J146" i="3"/>
  <c r="J145" i="3"/>
  <c r="E36" i="2"/>
  <c r="P38" i="1"/>
  <c r="P36" i="1"/>
  <c r="N8" i="1"/>
  <c r="E28" i="2" s="1"/>
  <c r="E64" i="2"/>
  <c r="E40" i="2"/>
  <c r="P37" i="1"/>
  <c r="D23" i="1"/>
  <c r="C9" i="5"/>
  <c r="E62" i="2"/>
  <c r="P30" i="1"/>
  <c r="H30" i="1" s="1"/>
  <c r="P29" i="1"/>
  <c r="P27" i="1"/>
  <c r="D10" i="1"/>
  <c r="E19" i="9" s="1"/>
  <c r="H23" i="1"/>
  <c r="H15" i="1"/>
  <c r="E38" i="2"/>
  <c r="M55" i="3"/>
  <c r="N54" i="3"/>
  <c r="U80" i="3"/>
  <c r="V79" i="3"/>
  <c r="L80" i="3"/>
  <c r="M79" i="3"/>
  <c r="K144" i="3"/>
  <c r="L143" i="3"/>
  <c r="P32" i="1" l="1"/>
  <c r="V32" i="1" s="1"/>
  <c r="V33" i="1" s="1" a="1"/>
  <c r="V33" i="1" s="1"/>
  <c r="E58" i="2"/>
  <c r="C37" i="5"/>
  <c r="C33" i="5"/>
  <c r="C29" i="5"/>
  <c r="C21" i="5"/>
  <c r="C17" i="5"/>
  <c r="C36" i="5"/>
  <c r="C30" i="5"/>
  <c r="C26" i="5"/>
  <c r="C20" i="5"/>
  <c r="C16" i="5"/>
  <c r="C14" i="5"/>
  <c r="C35" i="5"/>
  <c r="C27" i="5"/>
  <c r="C23" i="5"/>
  <c r="C19" i="5"/>
  <c r="C15" i="5"/>
  <c r="C34" i="5"/>
  <c r="C32" i="5"/>
  <c r="C18" i="5"/>
  <c r="C24" i="5"/>
  <c r="M143" i="3"/>
  <c r="L144" i="3"/>
  <c r="W79" i="3"/>
  <c r="W84" i="3" s="1"/>
  <c r="M84" i="3" s="1"/>
  <c r="V80" i="3"/>
  <c r="K148" i="3"/>
  <c r="K147" i="3"/>
  <c r="K146" i="3"/>
  <c r="K145" i="3"/>
  <c r="E26" i="5"/>
  <c r="E14" i="5"/>
  <c r="E23" i="5"/>
  <c r="E9" i="5"/>
  <c r="E32" i="5"/>
  <c r="E18" i="9"/>
  <c r="E29" i="5"/>
  <c r="N79" i="3"/>
  <c r="N80" i="3" s="1"/>
  <c r="M80" i="3"/>
  <c r="N55" i="3"/>
  <c r="O54" i="3"/>
  <c r="O55" i="3" s="1"/>
  <c r="S84" i="3"/>
  <c r="I84" i="3" s="1"/>
  <c r="V84" i="3"/>
  <c r="L84" i="3" s="1"/>
  <c r="Y84" i="3"/>
  <c r="O84" i="3" s="1"/>
  <c r="U84" i="3"/>
  <c r="K84" i="3" s="1"/>
  <c r="D38" i="3"/>
  <c r="P83" i="3"/>
  <c r="T84" i="3"/>
  <c r="J84" i="3" s="1"/>
  <c r="V36" i="1"/>
  <c r="U36" i="1"/>
  <c r="U32" i="1" l="1"/>
  <c r="U33" i="1" s="1" a="1"/>
  <c r="U33" i="1" s="1"/>
  <c r="U34" i="1" s="1"/>
  <c r="V35" i="1"/>
  <c r="V34" i="1"/>
  <c r="X79" i="3"/>
  <c r="W80" i="3"/>
  <c r="L148" i="3"/>
  <c r="L146" i="3"/>
  <c r="L147" i="3"/>
  <c r="L145" i="3"/>
  <c r="D39" i="3"/>
  <c r="E60" i="2"/>
  <c r="P34" i="1"/>
  <c r="N143" i="3"/>
  <c r="N144" i="3" s="1"/>
  <c r="M144" i="3"/>
  <c r="M148" i="3" l="1"/>
  <c r="M147" i="3"/>
  <c r="M146" i="3"/>
  <c r="M145" i="3"/>
  <c r="N148" i="3"/>
  <c r="N147" i="3"/>
  <c r="N146" i="3"/>
  <c r="N145" i="3"/>
  <c r="X80" i="3"/>
  <c r="X84" i="3"/>
  <c r="N84" i="3" s="1"/>
</calcChain>
</file>

<file path=xl/comments1.xml><?xml version="1.0" encoding="utf-8"?>
<comments xmlns="http://schemas.openxmlformats.org/spreadsheetml/2006/main">
  <authors>
    <author>tc={4E9606B2-2E9E-4687-921E-9464FB1A879A}</author>
  </authors>
  <commentList>
    <comment ref="X22" authorId="0" shapeId="0">
      <text>
        <r>
          <rPr>
            <sz val="10"/>
            <rFont val="Arial"/>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awaiting test results</t>
        </r>
      </text>
    </comment>
  </commentList>
</comments>
</file>

<file path=xl/sharedStrings.xml><?xml version="1.0" encoding="utf-8"?>
<sst xmlns="http://schemas.openxmlformats.org/spreadsheetml/2006/main" count="2208" uniqueCount="687">
  <si>
    <t>%</t>
  </si>
  <si>
    <t>ppm</t>
  </si>
  <si>
    <t>rpm</t>
  </si>
  <si>
    <t>kW</t>
  </si>
  <si>
    <t>dp</t>
  </si>
  <si>
    <t>n</t>
  </si>
  <si>
    <t>Recovery Rate</t>
  </si>
  <si>
    <t>RR</t>
  </si>
  <si>
    <r>
      <t>K</t>
    </r>
    <r>
      <rPr>
        <vertAlign val="subscript"/>
        <sz val="10"/>
        <rFont val="Arial"/>
        <family val="2"/>
      </rPr>
      <t>E</t>
    </r>
  </si>
  <si>
    <t>€/kWh</t>
  </si>
  <si>
    <r>
      <t>CO</t>
    </r>
    <r>
      <rPr>
        <vertAlign val="subscript"/>
        <sz val="10"/>
        <rFont val="Arial"/>
        <family val="2"/>
      </rPr>
      <t>2 saving/a</t>
    </r>
  </si>
  <si>
    <t>€/a</t>
  </si>
  <si>
    <t>Flow</t>
  </si>
  <si>
    <t>Pressure</t>
  </si>
  <si>
    <t>High Pressure Feed</t>
  </si>
  <si>
    <t>Salinity</t>
  </si>
  <si>
    <t>Permeate</t>
  </si>
  <si>
    <t>Low Pressure Brine</t>
  </si>
  <si>
    <t>High Pressure Brine</t>
  </si>
  <si>
    <t>Temperature</t>
  </si>
  <si>
    <t>Minimum feed pressure</t>
  </si>
  <si>
    <t>Minimum operating pressure</t>
  </si>
  <si>
    <t>Maximum operating pressure</t>
  </si>
  <si>
    <t>Minimum back pressure</t>
  </si>
  <si>
    <t>Maximum water temperature</t>
  </si>
  <si>
    <t>All calculated data presented does not represent guaranteed performance.</t>
  </si>
  <si>
    <t>Minimum rotational speed</t>
  </si>
  <si>
    <t>Input</t>
  </si>
  <si>
    <t>Permeate Flow</t>
  </si>
  <si>
    <t>Membran pressure drop</t>
  </si>
  <si>
    <t>Energy Data</t>
  </si>
  <si>
    <t>Energy costs</t>
  </si>
  <si>
    <t>Energy efficiency</t>
  </si>
  <si>
    <t>CO2 savings</t>
  </si>
  <si>
    <t>Energy cost savings</t>
  </si>
  <si>
    <t>t/a</t>
  </si>
  <si>
    <t>Frequency Converter efficiency</t>
  </si>
  <si>
    <t>Electrical Motor efficiency</t>
  </si>
  <si>
    <t>Rated Power</t>
  </si>
  <si>
    <t>Brine discharge pressure</t>
  </si>
  <si>
    <t>Berechnungen</t>
  </si>
  <si>
    <t>Recovery  Rate</t>
  </si>
  <si>
    <t>Membrane Feed Pressure</t>
  </si>
  <si>
    <r>
      <t>p</t>
    </r>
    <r>
      <rPr>
        <vertAlign val="subscript"/>
        <sz val="10"/>
        <rFont val="Arial"/>
        <family val="2"/>
      </rPr>
      <t>s</t>
    </r>
  </si>
  <si>
    <r>
      <t>Q</t>
    </r>
    <r>
      <rPr>
        <vertAlign val="subscript"/>
        <sz val="10"/>
        <rFont val="Arial"/>
        <family val="2"/>
      </rPr>
      <t>perm</t>
    </r>
  </si>
  <si>
    <t>Feed Temperature</t>
  </si>
  <si>
    <r>
      <t>T</t>
    </r>
    <r>
      <rPr>
        <vertAlign val="subscript"/>
        <sz val="10"/>
        <rFont val="Arial"/>
        <family val="2"/>
      </rPr>
      <t>feed</t>
    </r>
  </si>
  <si>
    <t>Feed Salinity</t>
  </si>
  <si>
    <r>
      <t>S</t>
    </r>
    <r>
      <rPr>
        <vertAlign val="subscript"/>
        <sz val="10"/>
        <rFont val="Arial"/>
        <family val="2"/>
      </rPr>
      <t>feed</t>
    </r>
  </si>
  <si>
    <t>Membrane Pressure Drop</t>
  </si>
  <si>
    <r>
      <rPr>
        <sz val="10"/>
        <rFont val="Calibri"/>
        <family val="2"/>
      </rPr>
      <t>Δp</t>
    </r>
    <r>
      <rPr>
        <vertAlign val="subscript"/>
        <sz val="10"/>
        <rFont val="Calibri"/>
        <family val="2"/>
      </rPr>
      <t>v</t>
    </r>
  </si>
  <si>
    <r>
      <t>p</t>
    </r>
    <r>
      <rPr>
        <vertAlign val="subscript"/>
        <sz val="10"/>
        <rFont val="Arial"/>
        <family val="2"/>
      </rPr>
      <t>back</t>
    </r>
  </si>
  <si>
    <r>
      <t>η</t>
    </r>
    <r>
      <rPr>
        <vertAlign val="subscript"/>
        <sz val="10"/>
        <rFont val="Arial"/>
        <family val="2"/>
      </rPr>
      <t>EM</t>
    </r>
  </si>
  <si>
    <r>
      <t>η</t>
    </r>
    <r>
      <rPr>
        <vertAlign val="subscript"/>
        <sz val="10"/>
        <rFont val="Arial"/>
        <family val="2"/>
      </rPr>
      <t>FU</t>
    </r>
  </si>
  <si>
    <t>Energy Costs</t>
  </si>
  <si>
    <t>Front pressure</t>
  </si>
  <si>
    <r>
      <t>p</t>
    </r>
    <r>
      <rPr>
        <vertAlign val="subscript"/>
        <sz val="10"/>
        <rFont val="Arial"/>
        <family val="2"/>
      </rPr>
      <t>feed lp</t>
    </r>
  </si>
  <si>
    <r>
      <t>Q</t>
    </r>
    <r>
      <rPr>
        <vertAlign val="subscript"/>
        <sz val="10"/>
        <rFont val="Arial"/>
        <family val="2"/>
      </rPr>
      <t>feed hp</t>
    </r>
  </si>
  <si>
    <t>Feed High Pressure</t>
  </si>
  <si>
    <r>
      <t>Q</t>
    </r>
    <r>
      <rPr>
        <vertAlign val="subscript"/>
        <sz val="10"/>
        <rFont val="Arial"/>
        <family val="2"/>
      </rPr>
      <t>brine hp</t>
    </r>
  </si>
  <si>
    <t>Brine High Pressure</t>
  </si>
  <si>
    <t>Feed Low Pressure</t>
  </si>
  <si>
    <r>
      <t>Q</t>
    </r>
    <r>
      <rPr>
        <vertAlign val="subscript"/>
        <sz val="10"/>
        <rFont val="Arial"/>
        <family val="2"/>
      </rPr>
      <t>feed lp</t>
    </r>
  </si>
  <si>
    <t>gegeben</t>
  </si>
  <si>
    <r>
      <t>V</t>
    </r>
    <r>
      <rPr>
        <vertAlign val="subscript"/>
        <sz val="10"/>
        <rFont val="Arial"/>
        <family val="2"/>
      </rPr>
      <t>pump</t>
    </r>
  </si>
  <si>
    <t>Volume pump</t>
  </si>
  <si>
    <t>mechanical efficiency</t>
  </si>
  <si>
    <r>
      <rPr>
        <sz val="10"/>
        <rFont val="Calibri"/>
        <family val="2"/>
      </rPr>
      <t>η</t>
    </r>
    <r>
      <rPr>
        <vertAlign val="subscript"/>
        <sz val="10"/>
        <rFont val="Arial"/>
        <family val="2"/>
      </rPr>
      <t>mech</t>
    </r>
  </si>
  <si>
    <r>
      <rPr>
        <sz val="10"/>
        <rFont val="Calibri"/>
        <family val="2"/>
      </rPr>
      <t>η</t>
    </r>
    <r>
      <rPr>
        <vertAlign val="subscript"/>
        <sz val="10"/>
        <rFont val="Arial"/>
        <family val="2"/>
      </rPr>
      <t>vol pump</t>
    </r>
  </si>
  <si>
    <t>volumetric efficiency pump</t>
  </si>
  <si>
    <t>Rotational speed</t>
  </si>
  <si>
    <t>difference pressure pump</t>
  </si>
  <si>
    <r>
      <t>p</t>
    </r>
    <r>
      <rPr>
        <vertAlign val="subscript"/>
        <sz val="10"/>
        <rFont val="Arial"/>
        <family val="2"/>
      </rPr>
      <t>brine hp</t>
    </r>
  </si>
  <si>
    <t>Power Pump</t>
  </si>
  <si>
    <r>
      <t>P</t>
    </r>
    <r>
      <rPr>
        <vertAlign val="subscript"/>
        <sz val="10"/>
        <rFont val="Arial"/>
        <family val="2"/>
      </rPr>
      <t>pump</t>
    </r>
  </si>
  <si>
    <t>Volume ERD</t>
  </si>
  <si>
    <r>
      <t>V</t>
    </r>
    <r>
      <rPr>
        <vertAlign val="subscript"/>
        <sz val="10"/>
        <rFont val="Arial"/>
        <family val="2"/>
      </rPr>
      <t>ERD</t>
    </r>
  </si>
  <si>
    <t>Power ERD</t>
  </si>
  <si>
    <r>
      <t>P</t>
    </r>
    <r>
      <rPr>
        <vertAlign val="subscript"/>
        <sz val="10"/>
        <rFont val="Arial"/>
        <family val="2"/>
      </rPr>
      <t>ERD</t>
    </r>
  </si>
  <si>
    <r>
      <t>P</t>
    </r>
    <r>
      <rPr>
        <vertAlign val="subscript"/>
        <sz val="10"/>
        <rFont val="Arial"/>
        <family val="2"/>
      </rPr>
      <t>shaft</t>
    </r>
  </si>
  <si>
    <t>Power shaft</t>
  </si>
  <si>
    <t>Electrical Power</t>
  </si>
  <si>
    <r>
      <t>P</t>
    </r>
    <r>
      <rPr>
        <vertAlign val="subscript"/>
        <sz val="10"/>
        <rFont val="Arial"/>
        <family val="2"/>
      </rPr>
      <t>el</t>
    </r>
  </si>
  <si>
    <r>
      <t>SEC</t>
    </r>
    <r>
      <rPr>
        <vertAlign val="subscript"/>
        <sz val="10"/>
        <rFont val="Arial"/>
        <family val="2"/>
      </rPr>
      <t>el</t>
    </r>
  </si>
  <si>
    <t>specific Energy Costs</t>
  </si>
  <si>
    <r>
      <t>m</t>
    </r>
    <r>
      <rPr>
        <vertAlign val="subscript"/>
        <sz val="10"/>
        <rFont val="Arial"/>
        <family val="2"/>
      </rPr>
      <t>CO2/kWh</t>
    </r>
  </si>
  <si>
    <t>CO2 equivalent</t>
  </si>
  <si>
    <r>
      <t>E</t>
    </r>
    <r>
      <rPr>
        <vertAlign val="subscript"/>
        <sz val="10"/>
        <rFont val="Arial"/>
        <family val="2"/>
      </rPr>
      <t>save el/a</t>
    </r>
  </si>
  <si>
    <t>Energy savings</t>
  </si>
  <si>
    <r>
      <t>K</t>
    </r>
    <r>
      <rPr>
        <vertAlign val="subscript"/>
        <sz val="10"/>
        <rFont val="Arial"/>
        <family val="2"/>
      </rPr>
      <t>E save/a</t>
    </r>
  </si>
  <si>
    <r>
      <t>K</t>
    </r>
    <r>
      <rPr>
        <vertAlign val="subscript"/>
        <sz val="10"/>
        <rFont val="Arial"/>
        <family val="2"/>
      </rPr>
      <t>E spec</t>
    </r>
  </si>
  <si>
    <r>
      <t>Max. Membrane Pressure p</t>
    </r>
    <r>
      <rPr>
        <vertAlign val="subscript"/>
        <sz val="10"/>
        <rFont val="Arial"/>
        <family val="2"/>
      </rPr>
      <t>s max</t>
    </r>
  </si>
  <si>
    <t>= wird dem Kunden angezeigt</t>
  </si>
  <si>
    <t>= erforderliche Eingabe</t>
  </si>
  <si>
    <t>kWh/a</t>
  </si>
  <si>
    <t>Maximum rotational speed</t>
  </si>
  <si>
    <t>= required Input</t>
  </si>
  <si>
    <t>volumetric efficiency motor</t>
  </si>
  <si>
    <r>
      <rPr>
        <sz val="10"/>
        <rFont val="Calibri"/>
        <family val="2"/>
      </rPr>
      <t>η</t>
    </r>
    <r>
      <rPr>
        <vertAlign val="subscript"/>
        <sz val="10"/>
        <rFont val="Arial"/>
        <family val="2"/>
      </rPr>
      <t>vol motor</t>
    </r>
  </si>
  <si>
    <t>Total Lubrication Flow</t>
  </si>
  <si>
    <r>
      <t>Q</t>
    </r>
    <r>
      <rPr>
        <vertAlign val="subscript"/>
        <sz val="10"/>
        <rFont val="Arial"/>
        <family val="2"/>
      </rPr>
      <t>lub</t>
    </r>
  </si>
  <si>
    <t>Brine Low Pressure</t>
  </si>
  <si>
    <r>
      <t>Q</t>
    </r>
    <r>
      <rPr>
        <vertAlign val="subscript"/>
        <sz val="10"/>
        <rFont val="Arial"/>
        <family val="2"/>
      </rPr>
      <t>brine lp</t>
    </r>
  </si>
  <si>
    <r>
      <t>SALINO</t>
    </r>
    <r>
      <rPr>
        <b/>
        <sz val="11"/>
        <rFont val="Calibri"/>
        <family val="2"/>
      </rPr>
      <t>®</t>
    </r>
  </si>
  <si>
    <t>Power savings</t>
  </si>
  <si>
    <t>angebotene RR</t>
  </si>
  <si>
    <t>Feed Water</t>
  </si>
  <si>
    <r>
      <t>p</t>
    </r>
    <r>
      <rPr>
        <vertAlign val="subscript"/>
        <sz val="10"/>
        <rFont val="Arial"/>
        <family val="2"/>
      </rPr>
      <t>s max</t>
    </r>
  </si>
  <si>
    <t>Unit Selection</t>
  </si>
  <si>
    <t>kWh/m³</t>
  </si>
  <si>
    <t>pressure</t>
  </si>
  <si>
    <t>flow</t>
  </si>
  <si>
    <t>temperature</t>
  </si>
  <si>
    <t>Umrechnungsfaktoren</t>
  </si>
  <si>
    <t>cm3</t>
  </si>
  <si>
    <t>kg/kWh</t>
  </si>
  <si>
    <t>bar</t>
  </si>
  <si>
    <t>kWh/m3</t>
  </si>
  <si>
    <t>€/m3</t>
  </si>
  <si>
    <t>psi</t>
  </si>
  <si>
    <t>m³/h</t>
  </si>
  <si>
    <t>gpm</t>
  </si>
  <si>
    <r>
      <t>Number of SALINO</t>
    </r>
    <r>
      <rPr>
        <sz val="10"/>
        <rFont val="Calibri"/>
        <family val="2"/>
      </rPr>
      <t>®</t>
    </r>
    <r>
      <rPr>
        <sz val="10"/>
        <rFont val="Arial"/>
        <family val="2"/>
      </rPr>
      <t>s required</t>
    </r>
  </si>
  <si>
    <t>calculated Rotational speed</t>
  </si>
  <si>
    <t>Rotational speed per SALINO</t>
  </si>
  <si>
    <r>
      <t>CO</t>
    </r>
    <r>
      <rPr>
        <vertAlign val="subscript"/>
        <sz val="10"/>
        <rFont val="Arial"/>
        <family val="2"/>
      </rPr>
      <t>2</t>
    </r>
    <r>
      <rPr>
        <sz val="10"/>
        <rFont val="Arial"/>
        <family val="2"/>
      </rPr>
      <t xml:space="preserve"> savings</t>
    </r>
  </si>
  <si>
    <t>Anzahl notw. SALINOs</t>
  </si>
  <si>
    <t>Minimum feed pressure f(n)</t>
  </si>
  <si>
    <t>Limiting Values for Operation</t>
  </si>
  <si>
    <t>Input from Calculation</t>
  </si>
  <si>
    <r>
      <t>SALINO</t>
    </r>
    <r>
      <rPr>
        <b/>
        <vertAlign val="superscript"/>
        <sz val="16"/>
        <rFont val="Arial"/>
        <family val="2"/>
      </rPr>
      <t>®</t>
    </r>
    <r>
      <rPr>
        <b/>
        <sz val="16"/>
        <rFont val="Arial"/>
        <family val="2"/>
      </rPr>
      <t xml:space="preserve"> Design Tool</t>
    </r>
  </si>
  <si>
    <t>for RO-Desalination</t>
  </si>
  <si>
    <r>
      <t>SALINO</t>
    </r>
    <r>
      <rPr>
        <sz val="10"/>
        <rFont val="Calibri"/>
        <family val="2"/>
      </rPr>
      <t>®</t>
    </r>
    <r>
      <rPr>
        <sz val="10"/>
        <rFont val="Arial"/>
        <family val="2"/>
      </rPr>
      <t xml:space="preserve"> Pressure Center</t>
    </r>
  </si>
  <si>
    <t xml:space="preserve">Project:  </t>
  </si>
  <si>
    <t>Duplex Stainless Steel</t>
  </si>
  <si>
    <t>Feed TDS:</t>
  </si>
  <si>
    <t>Overall Recovery:</t>
  </si>
  <si>
    <t>(Membrane) Feed Pressure:</t>
  </si>
  <si>
    <t>Feed Temperature:</t>
  </si>
  <si>
    <r>
      <t>Number of SALINO</t>
    </r>
    <r>
      <rPr>
        <sz val="10"/>
        <rFont val="Calibri"/>
        <family val="2"/>
      </rPr>
      <t>®</t>
    </r>
    <r>
      <rPr>
        <sz val="10"/>
        <rFont val="Arial"/>
        <family val="2"/>
      </rPr>
      <t>s required:</t>
    </r>
  </si>
  <si>
    <t>Feed water flow:</t>
  </si>
  <si>
    <t>Brine flow:</t>
  </si>
  <si>
    <t>Membrane Pressure drop:</t>
  </si>
  <si>
    <t>Energy costs:</t>
  </si>
  <si>
    <t>Manufactured in:</t>
  </si>
  <si>
    <t>Electrical Motor efficiency:</t>
  </si>
  <si>
    <t>Frequency Converter efficiency:</t>
  </si>
  <si>
    <t>Rated Power:</t>
  </si>
  <si>
    <t>Rated Maximum Power:</t>
  </si>
  <si>
    <t>Energy efficiency:</t>
  </si>
  <si>
    <r>
      <t>CO</t>
    </r>
    <r>
      <rPr>
        <vertAlign val="subscript"/>
        <sz val="10"/>
        <rFont val="Arial"/>
        <family val="2"/>
      </rPr>
      <t>2</t>
    </r>
    <r>
      <rPr>
        <sz val="10"/>
        <rFont val="Arial"/>
        <family val="2"/>
      </rPr>
      <t xml:space="preserve"> savings:</t>
    </r>
  </si>
  <si>
    <t>Energy cost savings:</t>
  </si>
  <si>
    <t xml:space="preserve"> for prior membrane calculation</t>
  </si>
  <si>
    <t>Permeate Flow:</t>
  </si>
  <si>
    <r>
      <t>Operating Data</t>
    </r>
    <r>
      <rPr>
        <sz val="10"/>
        <color theme="0"/>
        <rFont val="Arial"/>
        <family val="2"/>
      </rPr>
      <t xml:space="preserve"> (calculated)</t>
    </r>
  </si>
  <si>
    <r>
      <t>SALINO</t>
    </r>
    <r>
      <rPr>
        <vertAlign val="superscript"/>
        <sz val="18"/>
        <color theme="0"/>
        <rFont val="Calibri"/>
        <family val="2"/>
      </rPr>
      <t>®</t>
    </r>
    <r>
      <rPr>
        <sz val="18"/>
        <color theme="0"/>
        <rFont val="Arial"/>
        <family val="2"/>
      </rPr>
      <t xml:space="preserve"> Pressure Center</t>
    </r>
  </si>
  <si>
    <t>Minimum feed pressure:</t>
  </si>
  <si>
    <t>Minimum operating pressure:</t>
  </si>
  <si>
    <t>Maximum operating pressure:</t>
  </si>
  <si>
    <t>Minimum back pressure:</t>
  </si>
  <si>
    <t>Maximum water temperature:</t>
  </si>
  <si>
    <t>Created:</t>
  </si>
  <si>
    <t>Rotational speed:</t>
  </si>
  <si>
    <t>Warning</t>
  </si>
  <si>
    <t>www.salino.com</t>
  </si>
  <si>
    <t>Item</t>
  </si>
  <si>
    <t>Description</t>
  </si>
  <si>
    <t>Part no.</t>
  </si>
  <si>
    <t>Qty.</t>
  </si>
  <si>
    <t>Unit</t>
  </si>
  <si>
    <t>Material: Duplex 1.4462</t>
  </si>
  <si>
    <t>PC</t>
  </si>
  <si>
    <t>Motoren</t>
  </si>
  <si>
    <t>Standard</t>
  </si>
  <si>
    <t>Non-Standard</t>
  </si>
  <si>
    <t>Standard IE3</t>
  </si>
  <si>
    <t>00025</t>
  </si>
  <si>
    <t>00026</t>
  </si>
  <si>
    <t>00027</t>
  </si>
  <si>
    <t>00028</t>
  </si>
  <si>
    <t>00029</t>
  </si>
  <si>
    <t>00030</t>
  </si>
  <si>
    <t>00031</t>
  </si>
  <si>
    <t>00032</t>
  </si>
  <si>
    <t>00033</t>
  </si>
  <si>
    <t>00034</t>
  </si>
  <si>
    <t>00035</t>
  </si>
  <si>
    <t>00036</t>
  </si>
  <si>
    <t>00037</t>
  </si>
  <si>
    <t>00038</t>
  </si>
  <si>
    <t>00039</t>
  </si>
  <si>
    <t>00040</t>
  </si>
  <si>
    <t>00041</t>
  </si>
  <si>
    <t>00042</t>
  </si>
  <si>
    <t>00043</t>
  </si>
  <si>
    <t>00044</t>
  </si>
  <si>
    <t>00045</t>
  </si>
  <si>
    <t>00046</t>
  </si>
  <si>
    <t>00047</t>
  </si>
  <si>
    <t>00048</t>
  </si>
  <si>
    <t>00049</t>
  </si>
  <si>
    <t>00050</t>
  </si>
  <si>
    <t>00100</t>
  </si>
  <si>
    <t>FU</t>
  </si>
  <si>
    <t>exclusive</t>
  </si>
  <si>
    <t>Electric drive</t>
  </si>
  <si>
    <t>barshaft pump</t>
  </si>
  <si>
    <t>Mat.-Nr.</t>
  </si>
  <si>
    <t>bare shaft pump</t>
  </si>
  <si>
    <t>Motor Mat.-Nr.</t>
  </si>
  <si>
    <t>Motordaten Zeile 1</t>
  </si>
  <si>
    <t>Squirrel-Cage-Motor</t>
  </si>
  <si>
    <t>Motorbezeichnung</t>
  </si>
  <si>
    <t>Motordaten Zeile 2</t>
  </si>
  <si>
    <t/>
  </si>
  <si>
    <t>Frame material: grey cast iron</t>
  </si>
  <si>
    <t>motor protection 3 PTC thermistors</t>
  </si>
  <si>
    <t>paint finish resistant to salt-laden air</t>
  </si>
  <si>
    <t>Electric motor according to customers specification</t>
  </si>
  <si>
    <t>Frequency Converter</t>
  </si>
  <si>
    <t>3 AC 50Hz 400VD/690VY * 3 AC 60Hz 460VD</t>
  </si>
  <si>
    <t>Motordaten Zeile 3</t>
  </si>
  <si>
    <t>Motordaten Zeile 4</t>
  </si>
  <si>
    <t>Motordaten Zeile 5</t>
  </si>
  <si>
    <t>Motordaten Zeile 6</t>
  </si>
  <si>
    <t>FU-Mat.-Nr.</t>
  </si>
  <si>
    <t>FU-Bezeichnung</t>
  </si>
  <si>
    <t>FU-Daten Zeile 1</t>
  </si>
  <si>
    <t>non-standard FU</t>
  </si>
  <si>
    <t>Frequency Converter according to customers specification</t>
  </si>
  <si>
    <t>Premium Efficiency IE3; self ventilated; Isulation 155(F) to 130(B)</t>
  </si>
  <si>
    <t>Mat.-Nr. Pumpenträger</t>
  </si>
  <si>
    <t>Mat.-Nr. Kupplung</t>
  </si>
  <si>
    <t>Mat.-Nr. Montagerahmen</t>
  </si>
  <si>
    <t>01554712</t>
  </si>
  <si>
    <t>01553705</t>
  </si>
  <si>
    <t>01554711</t>
  </si>
  <si>
    <t>01553706</t>
  </si>
  <si>
    <t>01553707</t>
  </si>
  <si>
    <t>01553708</t>
  </si>
  <si>
    <t>01553709</t>
  </si>
  <si>
    <t>01553710</t>
  </si>
  <si>
    <t>01553711</t>
  </si>
  <si>
    <t>01553712</t>
  </si>
  <si>
    <t>01553713</t>
  </si>
  <si>
    <t>01553714</t>
  </si>
  <si>
    <t>01553715</t>
  </si>
  <si>
    <t>01553716</t>
  </si>
  <si>
    <t>01553717</t>
  </si>
  <si>
    <t>01553718</t>
  </si>
  <si>
    <t>01553719</t>
  </si>
  <si>
    <t>01553720</t>
  </si>
  <si>
    <t>01553721</t>
  </si>
  <si>
    <t>01553722</t>
  </si>
  <si>
    <t>01553723</t>
  </si>
  <si>
    <t>01553724</t>
  </si>
  <si>
    <t>01553725</t>
  </si>
  <si>
    <t>01553726</t>
  </si>
  <si>
    <t>01553727</t>
  </si>
  <si>
    <t>01553728</t>
  </si>
  <si>
    <t>01553729</t>
  </si>
  <si>
    <t>01553730</t>
  </si>
  <si>
    <t>01553731</t>
  </si>
  <si>
    <t>01553732</t>
  </si>
  <si>
    <t>01553733</t>
  </si>
  <si>
    <t>01553734</t>
  </si>
  <si>
    <t>01553735</t>
  </si>
  <si>
    <t>01553736</t>
  </si>
  <si>
    <t>01553737</t>
  </si>
  <si>
    <t>01553738</t>
  </si>
  <si>
    <t>01553739</t>
  </si>
  <si>
    <t>01553740</t>
  </si>
  <si>
    <t>01553741</t>
  </si>
  <si>
    <t>01553742</t>
  </si>
  <si>
    <t>01553743</t>
  </si>
  <si>
    <t>01553744</t>
  </si>
  <si>
    <t>01553745</t>
  </si>
  <si>
    <t>01553746</t>
  </si>
  <si>
    <t>01553747</t>
  </si>
  <si>
    <t>01553748</t>
  </si>
  <si>
    <t>01553749</t>
  </si>
  <si>
    <t>01553750</t>
  </si>
  <si>
    <t>01553751</t>
  </si>
  <si>
    <t>01553752</t>
  </si>
  <si>
    <t>01553753</t>
  </si>
  <si>
    <t>01553754</t>
  </si>
  <si>
    <t>01553755</t>
  </si>
  <si>
    <t>01553756</t>
  </si>
  <si>
    <t>Kupplungsbezeichnung</t>
  </si>
  <si>
    <t>Pumpenträgerbezeichnung</t>
  </si>
  <si>
    <t>Montagerahmenbezeichnung</t>
  </si>
  <si>
    <t>Bellhousing according to motor dimensions</t>
  </si>
  <si>
    <t>Flexible Coupling according to motor dimensions</t>
  </si>
  <si>
    <t>Spaltenindex</t>
  </si>
  <si>
    <t>Mountingframe according to motor dimensions</t>
  </si>
  <si>
    <t>Frequency Converter according customers specification</t>
  </si>
  <si>
    <t>3AC 380-480 V ±10 % * 50/60 Hz</t>
  </si>
  <si>
    <t>FU-Daten Zeile 2</t>
  </si>
  <si>
    <t>FU-Daten Zeile 3</t>
  </si>
  <si>
    <t>Frequency Converter PumpDrive R (KSB202)</t>
  </si>
  <si>
    <t>FU-Daten Zeile 4</t>
  </si>
  <si>
    <t>Dimensions [mm] H=650 x B=242 x T=260</t>
  </si>
  <si>
    <t>Maximum ambient temperature +50°C</t>
  </si>
  <si>
    <t>SALINO® hydraulic efficiency</t>
  </si>
  <si>
    <t>PC 33 (55 kW)</t>
  </si>
  <si>
    <t>33055025</t>
  </si>
  <si>
    <t>33055026</t>
  </si>
  <si>
    <t>33055027</t>
  </si>
  <si>
    <t>33055028</t>
  </si>
  <si>
    <t>33055029</t>
  </si>
  <si>
    <t>33055030</t>
  </si>
  <si>
    <t>33055031</t>
  </si>
  <si>
    <t>33055032</t>
  </si>
  <si>
    <t>33055033</t>
  </si>
  <si>
    <t>33055034</t>
  </si>
  <si>
    <t>33055035</t>
  </si>
  <si>
    <t>33055036</t>
  </si>
  <si>
    <t>33055037</t>
  </si>
  <si>
    <t>33055038</t>
  </si>
  <si>
    <t>33055039</t>
  </si>
  <si>
    <t>33055040</t>
  </si>
  <si>
    <t>33055041</t>
  </si>
  <si>
    <t>33055042</t>
  </si>
  <si>
    <t>33055043</t>
  </si>
  <si>
    <t>33055044</t>
  </si>
  <si>
    <t>33055045</t>
  </si>
  <si>
    <t>33055046</t>
  </si>
  <si>
    <t>33055047</t>
  </si>
  <si>
    <t>33055048</t>
  </si>
  <si>
    <t>33055049</t>
  </si>
  <si>
    <t>33055050</t>
  </si>
  <si>
    <t>PC 64 (75 kW)</t>
  </si>
  <si>
    <t>64075025</t>
  </si>
  <si>
    <t>64075026</t>
  </si>
  <si>
    <t>64075027</t>
  </si>
  <si>
    <t>64075028</t>
  </si>
  <si>
    <t>64075029</t>
  </si>
  <si>
    <t>64075030</t>
  </si>
  <si>
    <t>64075031</t>
  </si>
  <si>
    <t>64075032</t>
  </si>
  <si>
    <t>64075033</t>
  </si>
  <si>
    <t>64075034</t>
  </si>
  <si>
    <t>64075035</t>
  </si>
  <si>
    <t>64075036</t>
  </si>
  <si>
    <t>64075037</t>
  </si>
  <si>
    <t>64075038</t>
  </si>
  <si>
    <t>64075039</t>
  </si>
  <si>
    <t>64075040</t>
  </si>
  <si>
    <t>64075041</t>
  </si>
  <si>
    <t>64075042</t>
  </si>
  <si>
    <t>64075043</t>
  </si>
  <si>
    <t>64075044</t>
  </si>
  <si>
    <t>64075045</t>
  </si>
  <si>
    <t>64075046</t>
  </si>
  <si>
    <t>64075047</t>
  </si>
  <si>
    <t>64075048</t>
  </si>
  <si>
    <t>64075049</t>
  </si>
  <si>
    <t>64075050</t>
  </si>
  <si>
    <t>10625025</t>
  </si>
  <si>
    <t>10625026</t>
  </si>
  <si>
    <t>10625027</t>
  </si>
  <si>
    <t>10625028</t>
  </si>
  <si>
    <t>10625029</t>
  </si>
  <si>
    <t>10625030</t>
  </si>
  <si>
    <t>10625031</t>
  </si>
  <si>
    <t>10625032</t>
  </si>
  <si>
    <t>10625033</t>
  </si>
  <si>
    <t>10625034</t>
  </si>
  <si>
    <t>10625035</t>
  </si>
  <si>
    <t>10625036</t>
  </si>
  <si>
    <t>10625037</t>
  </si>
  <si>
    <t>10625038</t>
  </si>
  <si>
    <t>10625039</t>
  </si>
  <si>
    <t>10625040</t>
  </si>
  <si>
    <t>10625041</t>
  </si>
  <si>
    <t>10625042</t>
  </si>
  <si>
    <t>10625043</t>
  </si>
  <si>
    <t>10625044</t>
  </si>
  <si>
    <t>10625045</t>
  </si>
  <si>
    <t>10625046</t>
  </si>
  <si>
    <t>10625047</t>
  </si>
  <si>
    <t>10625048</t>
  </si>
  <si>
    <t>10625049</t>
  </si>
  <si>
    <t>10625050</t>
  </si>
  <si>
    <t>PC 33</t>
  </si>
  <si>
    <t>PC 64</t>
  </si>
  <si>
    <t>MAT.-NR. 55 kW Motor</t>
  </si>
  <si>
    <t>MAT.-NR. 75 kW Motor</t>
  </si>
  <si>
    <t>MAT.-NR. Pumpdrive R 55 kW</t>
  </si>
  <si>
    <t>MAT.-NR. Pumpdrive R 75 kW</t>
  </si>
  <si>
    <t>Non-Standard Motor</t>
  </si>
  <si>
    <t>IP55 * 4pole * BG280S * IMB35 * 75kW (50 Hz) * 90kW (60Hz)</t>
  </si>
  <si>
    <t>www.salinnova.com</t>
  </si>
  <si>
    <t>IP55 * 4pole * BG250M * IMB35 * 55kW (50 Hz) * 66kW (60Hz)</t>
  </si>
  <si>
    <t>Bellhousing PG550</t>
  </si>
  <si>
    <t>Flexible Coupling Bowex I 80</t>
  </si>
  <si>
    <t>Mountingframe 270x600x2075</t>
  </si>
  <si>
    <t>IP20 * 55 kW * I at 400V=44,0A</t>
  </si>
  <si>
    <t>IP20 * 75 kW * I at 400V=61,0A</t>
  </si>
  <si>
    <r>
      <rPr>
        <b/>
        <i/>
        <sz val="16"/>
        <color rgb="FFFF3300"/>
        <rFont val="Arial"/>
        <family val="2"/>
      </rPr>
      <t>SALINO</t>
    </r>
    <r>
      <rPr>
        <b/>
        <i/>
        <sz val="16"/>
        <color rgb="FFFF3300"/>
        <rFont val="Calibri"/>
        <family val="2"/>
      </rPr>
      <t>®</t>
    </r>
    <r>
      <rPr>
        <b/>
        <i/>
        <sz val="16"/>
        <color rgb="FFFF3300"/>
        <rFont val="Arial"/>
        <family val="2"/>
      </rPr>
      <t xml:space="preserve"> 500 Pressure Center</t>
    </r>
    <r>
      <rPr>
        <b/>
        <sz val="16"/>
        <color rgb="FFFF3300"/>
        <rFont val="Arial"/>
        <family val="2"/>
      </rPr>
      <t xml:space="preserve"> </t>
    </r>
    <r>
      <rPr>
        <b/>
        <sz val="16"/>
        <rFont val="Arial"/>
        <family val="2"/>
      </rPr>
      <t>scope of supply</t>
    </r>
  </si>
  <si>
    <t>10625051</t>
  </si>
  <si>
    <t>33055051</t>
  </si>
  <si>
    <t>64075051</t>
  </si>
  <si>
    <t>00051</t>
  </si>
  <si>
    <t>10625052</t>
  </si>
  <si>
    <t>33055052</t>
  </si>
  <si>
    <t>64075052</t>
  </si>
  <si>
    <t>00052</t>
  </si>
  <si>
    <t>rev:</t>
  </si>
  <si>
    <t>date:</t>
  </si>
  <si>
    <t>Revision:</t>
  </si>
  <si>
    <t>max. pressure</t>
  </si>
  <si>
    <t>our Quotation/Order:</t>
  </si>
  <si>
    <t>electrical Supply</t>
  </si>
  <si>
    <t>Voltage:</t>
  </si>
  <si>
    <t>V</t>
  </si>
  <si>
    <t>Freqency</t>
  </si>
  <si>
    <t>Hz</t>
  </si>
  <si>
    <t>pole no.</t>
  </si>
  <si>
    <t>nominal speed</t>
  </si>
  <si>
    <t>RPM</t>
  </si>
  <si>
    <t>safety mark-up</t>
  </si>
  <si>
    <t>ratio min</t>
  </si>
  <si>
    <t>ratio max</t>
  </si>
  <si>
    <t>KW</t>
  </si>
  <si>
    <t>speed ratio (pump speed/nominal speed)</t>
  </si>
  <si>
    <t>per pump unit:</t>
  </si>
  <si>
    <t>Min. pressure</t>
  </si>
  <si>
    <t>All values displayed are for information purposes only and do not represent guaranteed values.</t>
  </si>
  <si>
    <t>engineered by:</t>
  </si>
  <si>
    <t>min. pressure switch off (Kidney)</t>
  </si>
  <si>
    <t>delta p max. speed</t>
  </si>
  <si>
    <t>Minimum feed pressure (bar)</t>
  </si>
  <si>
    <t>min. pressure (bar); switch off (Kidney)</t>
  </si>
  <si>
    <t>warning pressure (bar); alarm (Kidney)</t>
  </si>
  <si>
    <t>warning</t>
  </si>
  <si>
    <t>max.</t>
  </si>
  <si>
    <t>&lt;</t>
  </si>
  <si>
    <t>µm</t>
  </si>
  <si>
    <t>Purity (Filter Qualiy)</t>
  </si>
  <si>
    <t>Type</t>
  </si>
  <si>
    <t>Feed water Type</t>
  </si>
  <si>
    <t>sea water</t>
  </si>
  <si>
    <t>brackish water</t>
  </si>
  <si>
    <t>landfill leachate</t>
  </si>
  <si>
    <t>others (must bespecified)</t>
  </si>
  <si>
    <t>1.</t>
  </si>
  <si>
    <t>Feed Water Quality</t>
  </si>
  <si>
    <t>2.</t>
  </si>
  <si>
    <t>RO Paramteres</t>
  </si>
  <si>
    <t>Feed Pressure to RO</t>
  </si>
  <si>
    <t>Our offer is based on following paramters:</t>
  </si>
  <si>
    <t>3.</t>
  </si>
  <si>
    <t>Electrical Paramter</t>
  </si>
  <si>
    <t>Supply Line</t>
  </si>
  <si>
    <t>Voltage</t>
  </si>
  <si>
    <t>Frequency</t>
  </si>
  <si>
    <t>Motor Start</t>
  </si>
  <si>
    <t>VFD</t>
  </si>
  <si>
    <t>Current</t>
  </si>
  <si>
    <t>Feed Flow to RO</t>
  </si>
  <si>
    <t>information only</t>
  </si>
  <si>
    <r>
      <t>SALINO</t>
    </r>
    <r>
      <rPr>
        <b/>
        <vertAlign val="superscript"/>
        <sz val="18"/>
        <rFont val="Arial"/>
        <family val="2"/>
      </rPr>
      <t>®</t>
    </r>
    <r>
      <rPr>
        <b/>
        <sz val="18"/>
        <rFont val="Arial"/>
        <family val="2"/>
      </rPr>
      <t xml:space="preserve"> Pressure Center  </t>
    </r>
    <r>
      <rPr>
        <b/>
        <sz val="18"/>
        <rFont val="Calibri"/>
        <family val="2"/>
      </rPr>
      <t>̶</t>
    </r>
    <r>
      <rPr>
        <b/>
        <sz val="18"/>
        <rFont val="Arial"/>
        <family val="2"/>
      </rPr>
      <t xml:space="preserve">  Inquiry Form</t>
    </r>
  </si>
  <si>
    <t>RPMs</t>
  </si>
  <si>
    <t>m³/hr</t>
  </si>
  <si>
    <t>pump flow (m³/hr)</t>
  </si>
  <si>
    <t>pressure range standard application (bar)</t>
  </si>
  <si>
    <t>pressure range to be confirmed individual (bar)</t>
  </si>
  <si>
    <t>Pressure Center _x000B_pressure limits Feed side</t>
  </si>
  <si>
    <t xml:space="preserve">Pressure Center _x000B_performance range HP OUT </t>
  </si>
  <si>
    <t>Pressure Center _x000B_criterias HP IN</t>
  </si>
  <si>
    <t>HP In</t>
  </si>
  <si>
    <t>LP OUT</t>
  </si>
  <si>
    <t>Pressure Center _x000B_criterias LP Out</t>
  </si>
  <si>
    <t>Motor</t>
  </si>
  <si>
    <t xml:space="preserve">RR </t>
  </si>
  <si>
    <t xml:space="preserve">% @ </t>
  </si>
  <si>
    <t>shaft-power demand [KW]</t>
  </si>
  <si>
    <t>Modellreihen Salinnova</t>
  </si>
  <si>
    <t>Datum:</t>
  </si>
  <si>
    <t>Kolben</t>
  </si>
  <si>
    <t>Recovery Rates (=Permeat Rate)</t>
  </si>
  <si>
    <t>pump speed</t>
  </si>
  <si>
    <t>Zulässige Betriebsbedingunge</t>
  </si>
  <si>
    <t>Motor Sizes
(Max. Motor: pmax2 at 1.500 RPM at max. RR with 15% make-up
Min. Motor: pmax1 at 1.500 RPM und min. RR with 15% make-up)</t>
  </si>
  <si>
    <t>Model</t>
  </si>
  <si>
    <t>Remark</t>
  </si>
  <si>
    <t>Duplex</t>
  </si>
  <si>
    <t>EL316</t>
  </si>
  <si>
    <t>boosted</t>
  </si>
  <si>
    <t>super boosted</t>
  </si>
  <si>
    <t>displacement pump</t>
  </si>
  <si>
    <t>displacement ERD</t>
  </si>
  <si>
    <t>Piston Design</t>
  </si>
  <si>
    <r>
      <t>RPM</t>
    </r>
    <r>
      <rPr>
        <b/>
        <vertAlign val="subscript"/>
        <sz val="11"/>
        <color theme="1"/>
        <rFont val="Calibri"/>
        <family val="2"/>
        <scheme val="minor"/>
      </rPr>
      <t>min</t>
    </r>
  </si>
  <si>
    <r>
      <t>RPM</t>
    </r>
    <r>
      <rPr>
        <b/>
        <vertAlign val="subscript"/>
        <sz val="11"/>
        <color theme="1"/>
        <rFont val="Calibri"/>
        <family val="2"/>
        <scheme val="minor"/>
      </rPr>
      <t>max</t>
    </r>
  </si>
  <si>
    <t>Fluid Temperatur</t>
  </si>
  <si>
    <t>LP in (Feedwater)</t>
  </si>
  <si>
    <t>HP Out (Osmose Druck)
pmax1 : nominal pressure for PN80 Hoses ( 2" und 3")
pmax2: maximum pressure for pump unit * plug fitted force feed*</t>
  </si>
  <si>
    <t>HP In (Brine)</t>
  </si>
  <si>
    <t xml:space="preserve">LP Out </t>
  </si>
  <si>
    <t>Lubrication Lines</t>
  </si>
  <si>
    <t xml:space="preserve"> total lubrication Flow= 100%-(100%-X+100%-Y)</t>
  </si>
  <si>
    <t>make-up on calculated motor sizing (torque)</t>
  </si>
  <si>
    <t>80M-4</t>
  </si>
  <si>
    <t>90S-4</t>
  </si>
  <si>
    <t>90L-4</t>
  </si>
  <si>
    <t>90L-4V*</t>
  </si>
  <si>
    <t>100L-4</t>
  </si>
  <si>
    <t>112M-4</t>
  </si>
  <si>
    <t>132S-4</t>
  </si>
  <si>
    <t>132M-4</t>
  </si>
  <si>
    <t>160M-4</t>
  </si>
  <si>
    <t>160L-4</t>
  </si>
  <si>
    <t>180M-4</t>
  </si>
  <si>
    <t>180L-4</t>
  </si>
  <si>
    <t>200L-4K</t>
  </si>
  <si>
    <t>225S-4</t>
  </si>
  <si>
    <t>225M-4</t>
  </si>
  <si>
    <t>250M-4</t>
  </si>
  <si>
    <t>280S-4</t>
  </si>
  <si>
    <t>280M-4K</t>
  </si>
  <si>
    <t>315S-4</t>
  </si>
  <si>
    <t>315M-4</t>
  </si>
  <si>
    <t>315L-4K</t>
  </si>
  <si>
    <t>315L-4M</t>
  </si>
  <si>
    <t>315L-4L*</t>
  </si>
  <si>
    <t>315L-4V*</t>
  </si>
  <si>
    <t>shaft  pump-side</t>
  </si>
  <si>
    <t>Gleitringdichtung (=mechanical seal)</t>
  </si>
  <si>
    <t>pump connections</t>
  </si>
  <si>
    <t>ccm/rev</t>
  </si>
  <si>
    <t>Number</t>
  </si>
  <si>
    <t>diameter</t>
  </si>
  <si>
    <t>strocke</t>
  </si>
  <si>
    <t>Tmin</t>
  </si>
  <si>
    <t>Tmax</t>
  </si>
  <si>
    <t>pmax</t>
  </si>
  <si>
    <t>pmin</t>
  </si>
  <si>
    <t>pmax1</t>
  </si>
  <si>
    <t>pmax2</t>
  </si>
  <si>
    <t>as HP Out</t>
  </si>
  <si>
    <t xml:space="preserve">mechanical efficiency pump </t>
  </si>
  <si>
    <t>mechanical efficiency ERD</t>
  </si>
  <si>
    <t>volumetric efficiency pump side</t>
  </si>
  <si>
    <t>volumetric efficiency ERD side</t>
  </si>
  <si>
    <t>efficiency VFD</t>
  </si>
  <si>
    <t>D</t>
  </si>
  <si>
    <t>L</t>
  </si>
  <si>
    <t>Form</t>
  </si>
  <si>
    <t>S: Standard
O: optional
R: ohne GLRD (Dichtring)</t>
  </si>
  <si>
    <t>LP in</t>
  </si>
  <si>
    <t>HP out</t>
  </si>
  <si>
    <t>HP in</t>
  </si>
  <si>
    <t>LP out</t>
  </si>
  <si>
    <t>Lubrication Pump</t>
  </si>
  <si>
    <t>Lubrication ERD</t>
  </si>
  <si>
    <t>Salino</t>
  </si>
  <si>
    <t>IE3-Motor:</t>
  </si>
  <si>
    <t>Stk.</t>
  </si>
  <si>
    <t>mm</t>
  </si>
  <si>
    <t>°C</t>
  </si>
  <si>
    <t>Faktor a</t>
  </si>
  <si>
    <t>min pressure in Kidney</t>
  </si>
  <si>
    <t>shaft motor side</t>
  </si>
  <si>
    <t>N: key
Z: toothed</t>
  </si>
  <si>
    <t>x</t>
  </si>
  <si>
    <t>wie HP Out</t>
  </si>
  <si>
    <t>N</t>
  </si>
  <si>
    <t>S</t>
  </si>
  <si>
    <t>G 3/8"</t>
  </si>
  <si>
    <t>G 1/4"</t>
  </si>
  <si>
    <t>60RR25</t>
  </si>
  <si>
    <t>P60M30</t>
  </si>
  <si>
    <t>DR: 63
GLRD: 88</t>
  </si>
  <si>
    <t>G 1"</t>
  </si>
  <si>
    <t>G 3/4"</t>
  </si>
  <si>
    <t>G 1/2"</t>
  </si>
  <si>
    <t>60RR30</t>
  </si>
  <si>
    <t>P51M30</t>
  </si>
  <si>
    <t>60RR40</t>
  </si>
  <si>
    <t>P63M35</t>
  </si>
  <si>
    <t>60RR50</t>
  </si>
  <si>
    <t>P63M30</t>
  </si>
  <si>
    <t>60RR45</t>
  </si>
  <si>
    <t>P70M35</t>
  </si>
  <si>
    <t>60RR55</t>
  </si>
  <si>
    <t>P80M35</t>
  </si>
  <si>
    <t>13 Zähne</t>
  </si>
  <si>
    <t>Z</t>
  </si>
  <si>
    <t>SAE 2"</t>
  </si>
  <si>
    <t>3" SAE</t>
  </si>
  <si>
    <t>Typ</t>
  </si>
  <si>
    <t>Selection</t>
  </si>
  <si>
    <t>factor a</t>
  </si>
  <si>
    <t>SALINO®</t>
  </si>
  <si>
    <t>mark-up warning level</t>
  </si>
  <si>
    <t xml:space="preserve">
Formel: min.pressure kidney*(1+mark-up)+(factor a*(design RPMs/min. RPMs)^2)</t>
  </si>
  <si>
    <t>HP Out</t>
  </si>
  <si>
    <t>LP Out</t>
  </si>
  <si>
    <t>Minimum water temperature</t>
  </si>
  <si>
    <t>lubrication/leakage lines</t>
  </si>
  <si>
    <t xml:space="preserve"> max. ppm</t>
  </si>
  <si>
    <t>max. salinity</t>
  </si>
  <si>
    <t>Faktor</t>
  </si>
  <si>
    <t>pump flow (</t>
  </si>
  <si>
    <t xml:space="preserve">- back-pressure range between </t>
  </si>
  <si>
    <t xml:space="preserve"> bar shaft-power demand [KW]</t>
  </si>
  <si>
    <t xml:space="preserve"> bar shaft-power demand [</t>
  </si>
  <si>
    <t>design case</t>
  </si>
  <si>
    <t>Nennleistung</t>
  </si>
  <si>
    <t>IE1 Standard Wirkungsgrad</t>
  </si>
  <si>
    <t>IE2 Hoher Wirkungsgrad</t>
  </si>
  <si>
    <t>IE3 Premium Wirkungsgrad</t>
  </si>
  <si>
    <t>2-polig</t>
  </si>
  <si>
    <t>4-polig</t>
  </si>
  <si>
    <t>6-polig</t>
  </si>
  <si>
    <t>minimum</t>
  </si>
  <si>
    <t>IE3 motor, nominal power</t>
  </si>
  <si>
    <t>IE3 motor, nominal efficiency</t>
  </si>
  <si>
    <t xml:space="preserve"> Pressure Center  ̶  Design Tool</t>
  </si>
  <si>
    <t xml:space="preserve">SALINO® </t>
  </si>
  <si>
    <t xml:space="preserve"> Pressure Center  ̶  Flow Characteristic</t>
  </si>
  <si>
    <t>:1 m³/hr per unit)</t>
  </si>
  <si>
    <r>
      <t>SALINO</t>
    </r>
    <r>
      <rPr>
        <b/>
        <vertAlign val="superscript"/>
        <sz val="18"/>
        <rFont val="Arial"/>
        <family val="2"/>
      </rPr>
      <t>®</t>
    </r>
    <r>
      <rPr>
        <b/>
        <sz val="18"/>
        <rFont val="Arial"/>
        <family val="2"/>
      </rPr>
      <t xml:space="preserve"> Pressure Center - Short Explanation to new Tool</t>
    </r>
  </si>
  <si>
    <t>Although Products and Physics didn`t change compared to former forms we decided to elaborate a new version of Design Tool:</t>
  </si>
  <si>
    <t>1. One File fits to all Salino Models. You can choose within this file (see below) any of actual Salino model</t>
  </si>
  <si>
    <t>2. All actual design parameters are updated. Use from now on just this file to avoid any hesitation</t>
  </si>
  <si>
    <t>2. Inquiry Form - New</t>
  </si>
  <si>
    <t>2.1 Main parameters are gathered in this sheet (and just there). This also a baseline of our quotation, so please handle with care</t>
  </si>
  <si>
    <t>2.2 You can choose now directly between all existing Salino Models. Please consider that for the Salino 60 we have discrete types with individual Recovery- Rates.</t>
  </si>
  <si>
    <t>2.4 We make difference in pressure level (as before). Everything up to 70bar is standard. Between 70 and 120 bar please clarify application with Sales Team in Frankenthal</t>
  </si>
  <si>
    <t>3. Design Tool</t>
  </si>
  <si>
    <t>3.1 As many parameters are gathered in the IQF you will find reduced input on this sheet</t>
  </si>
  <si>
    <t>3.2 The design calculation are unchanged</t>
  </si>
  <si>
    <t>3.4 You can "OPEN" and "CLOSE" the design feature for the electro-motor. Please use the buttons</t>
  </si>
  <si>
    <t>3.5 We included recommendations for 2-; 4- and 6-pole motors (knowing that &gt;75% will be 4-pole)</t>
  </si>
  <si>
    <t>4. Flow Characteristic - NEW</t>
  </si>
  <si>
    <t>4.1 This sheet shall explain the main conditions and characteristic of the designed Salino</t>
  </si>
  <si>
    <t>4.4 The design reflects our central port plate. Following this logic shall help to explain our product.</t>
  </si>
  <si>
    <t>1. General</t>
  </si>
  <si>
    <t>3. As an extra we added a feature to help you with the design of the right size of electrical motor</t>
  </si>
  <si>
    <t>2.3 Recovery Rates are available in certain steps. Any further Recovery-Rate shall be avoided resp. Must be clarified with Frankenthal</t>
  </si>
  <si>
    <t>3.3 We also show now the lubrication flow. We calculate the lubrication flow always to the nominal speed of the pump (1.500 RPMs)</t>
  </si>
  <si>
    <t>4.2 This sheet is always specific to the design case</t>
  </si>
  <si>
    <t>4.3 The graphics contents explanation to the graphs</t>
  </si>
  <si>
    <t>Auxiliary Equipment:</t>
  </si>
  <si>
    <t>CPV</t>
  </si>
  <si>
    <t>Sensor 1</t>
  </si>
  <si>
    <t>Sensor 2</t>
  </si>
  <si>
    <t>250+E</t>
  </si>
  <si>
    <t>500E</t>
  </si>
  <si>
    <t>Hoses HP1</t>
  </si>
  <si>
    <t>Hoses HP2</t>
  </si>
  <si>
    <t>Hoses LP</t>
  </si>
  <si>
    <t>2 pcs. High pressure flexible hose PHD250 X 1500 SF90VA VIC2"VA; max. operating pressure: 80bar/ 1.150psi; incl. SAE-Adapter 3" to 2" (SAL8025 500E HP in/out)</t>
  </si>
  <si>
    <t>2 pcs. High pressure flexible hose PHD276 X 1500 SF90VA VIC3"VA; max. operating pressure: 63bar/ 950psi; " (SAL8667 500E LP in/out)</t>
  </si>
  <si>
    <t>2 pcs. High pressure flexible hose PHD250 X 1500 SF90VA VIC2"VA; max. operating pressure: 160bar/ 2.300psi; incl. SAE-Adapter 3" to 2" (SAL8XXX 500E HHP in/out)</t>
  </si>
  <si>
    <t>1 pc Constant pressure valve CPV 3" DN80 (SAL9210 500E LP out)</t>
  </si>
  <si>
    <t>4 pcs Pressure sensor PT; for operating in auto mode (SAL9245 LP in+out/HP in+out)</t>
  </si>
  <si>
    <t>1 pc Pressure switche PP; digital output for inlet pressure monitoring (SAL9399 250E/500E LP in)</t>
  </si>
  <si>
    <t>A</t>
  </si>
  <si>
    <t>B</t>
  </si>
  <si>
    <t>C</t>
  </si>
  <si>
    <t>E</t>
  </si>
  <si>
    <t>F</t>
  </si>
  <si>
    <t>HP Hoses</t>
  </si>
  <si>
    <t>LP Hoses</t>
  </si>
  <si>
    <t>Sensor</t>
  </si>
  <si>
    <t>approx. Motor efficiency</t>
  </si>
  <si>
    <t>min. nominal Motor power (incl. Mark-up)</t>
  </si>
  <si>
    <t>motor frame</t>
  </si>
  <si>
    <t>uptime</t>
  </si>
  <si>
    <t>hours/years</t>
  </si>
  <si>
    <t>est. Working hours per year</t>
  </si>
  <si>
    <t>hrs./yr.</t>
  </si>
  <si>
    <t>of nominal motor current (standard)</t>
  </si>
  <si>
    <t>our Quotation / Order:</t>
  </si>
  <si>
    <r>
      <t>120</t>
    </r>
    <r>
      <rPr>
        <b/>
        <sz val="8"/>
        <color theme="1"/>
        <rFont val="Calibri"/>
        <family val="2"/>
        <scheme val="minor"/>
      </rPr>
      <t>/183ccm</t>
    </r>
  </si>
  <si>
    <t>max torque</t>
  </si>
  <si>
    <t>Nm</t>
  </si>
  <si>
    <t>utilisation</t>
  </si>
  <si>
    <t>Offset RR</t>
  </si>
  <si>
    <t>200103_01_06</t>
  </si>
  <si>
    <t>2.5 Exceptional Recovery Rates can be desfined by the use of the Offset on the Inquiry Form. Technical Feasibilty, delivery times and impact on costs has to be clairified with Salinnova Headquarter</t>
  </si>
  <si>
    <t>60RR35</t>
  </si>
  <si>
    <t>SalAG1XXX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</si>
</sst>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_-;\-* #,##0.00\ _€_-;_-* &quot;-&quot;??\ _€_-;_-@_-"/>
    <numFmt numFmtId="164" formatCode="0.0"/>
    <numFmt numFmtId="165" formatCode="_-* #,##0\ _€_-;\-* #,##0\ _€_-;_-* &quot;-&quot;??\ _€_-;_-@_-"/>
    <numFmt numFmtId="166" formatCode="0.0%"/>
    <numFmt numFmtId="167" formatCode="d/m/yy;@"/>
  </numFmts>
  <fonts count="7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font>
    <font>
      <vertAlign val="subscript"/>
      <sz val="10"/>
      <name val="Arial"/>
      <family val="2"/>
    </font>
    <font>
      <sz val="14"/>
      <name val="Arial"/>
      <family val="2"/>
    </font>
    <font>
      <b/>
      <sz val="18"/>
      <name val="Arial"/>
      <family val="2"/>
    </font>
    <font>
      <b/>
      <vertAlign val="superscript"/>
      <sz val="18"/>
      <name val="Arial"/>
      <family val="2"/>
    </font>
    <font>
      <b/>
      <sz val="11"/>
      <name val="Arial"/>
      <family val="2"/>
    </font>
    <font>
      <vertAlign val="subscript"/>
      <sz val="10"/>
      <name val="Calibri"/>
      <family val="2"/>
    </font>
    <font>
      <b/>
      <sz val="11"/>
      <name val="Calibri"/>
      <family val="2"/>
    </font>
    <font>
      <sz val="10"/>
      <color rgb="FFFF0000"/>
      <name val="Arial"/>
      <family val="2"/>
    </font>
    <font>
      <b/>
      <sz val="18"/>
      <name val="Calibri"/>
      <family val="2"/>
    </font>
    <font>
      <b/>
      <sz val="10"/>
      <color theme="1" tint="0.34998626667073579"/>
      <name val="Arial"/>
      <family val="2"/>
    </font>
    <font>
      <sz val="10"/>
      <color theme="1" tint="0.34998626667073579"/>
      <name val="Arial"/>
      <family val="2"/>
    </font>
    <font>
      <b/>
      <sz val="18"/>
      <color theme="1" tint="0.34998626667073579"/>
      <name val="Arial"/>
      <family val="2"/>
    </font>
    <font>
      <sz val="10"/>
      <name val="Arial"/>
      <family val="2"/>
    </font>
    <font>
      <b/>
      <sz val="16"/>
      <name val="Arial"/>
      <family val="2"/>
    </font>
    <font>
      <sz val="16"/>
      <name val="Arial"/>
      <family val="2"/>
    </font>
    <font>
      <b/>
      <vertAlign val="superscript"/>
      <sz val="16"/>
      <name val="Arial"/>
      <family val="2"/>
    </font>
    <font>
      <sz val="18"/>
      <color theme="0"/>
      <name val="Arial"/>
      <family val="2"/>
    </font>
    <font>
      <sz val="10"/>
      <color theme="0"/>
      <name val="Arial"/>
      <family val="2"/>
    </font>
    <font>
      <vertAlign val="superscript"/>
      <sz val="18"/>
      <color theme="0"/>
      <name val="Calibri"/>
      <family val="2"/>
    </font>
    <font>
      <u/>
      <sz val="10"/>
      <color theme="10"/>
      <name val="Arial"/>
      <family val="2"/>
    </font>
    <font>
      <b/>
      <sz val="10"/>
      <color rgb="FFFF0000"/>
      <name val="Arial"/>
      <family val="2"/>
    </font>
    <font>
      <u/>
      <sz val="12"/>
      <color theme="10"/>
      <name val="Arial"/>
      <family val="2"/>
    </font>
    <font>
      <sz val="12"/>
      <name val="Times New Roman"/>
      <family val="1"/>
    </font>
    <font>
      <sz val="9"/>
      <name val="Arial"/>
      <family val="2"/>
    </font>
    <font>
      <b/>
      <sz val="9"/>
      <color rgb="FF000000"/>
      <name val="Calibri"/>
      <family val="2"/>
    </font>
    <font>
      <b/>
      <sz val="9"/>
      <color rgb="FF000000"/>
      <name val="Times New Roman"/>
      <family val="1"/>
    </font>
    <font>
      <sz val="9"/>
      <color rgb="FF000000"/>
      <name val="Calibri"/>
      <family val="2"/>
    </font>
    <font>
      <b/>
      <sz val="9"/>
      <name val="Calibri"/>
      <family val="2"/>
    </font>
    <font>
      <b/>
      <sz val="12"/>
      <name val="Arial"/>
      <family val="2"/>
    </font>
    <font>
      <sz val="9"/>
      <name val="Calibri"/>
      <family val="2"/>
    </font>
    <font>
      <b/>
      <sz val="16"/>
      <color rgb="FFFF3300"/>
      <name val="Arial"/>
      <family val="2"/>
    </font>
    <font>
      <b/>
      <i/>
      <sz val="16"/>
      <color rgb="FFFF3300"/>
      <name val="Arial"/>
      <family val="2"/>
    </font>
    <font>
      <b/>
      <i/>
      <sz val="16"/>
      <color rgb="FFFF3300"/>
      <name val="Calibri"/>
      <family val="2"/>
    </font>
    <font>
      <sz val="10"/>
      <name val="Arial"/>
    </font>
    <font>
      <i/>
      <sz val="10"/>
      <name val="Arial"/>
      <family val="2"/>
    </font>
    <font>
      <b/>
      <sz val="16"/>
      <color theme="1"/>
      <name val="Calibri"/>
      <family val="2"/>
      <scheme val="minor"/>
    </font>
    <font>
      <sz val="16"/>
      <color theme="1"/>
      <name val="Calibri"/>
      <family val="2"/>
      <scheme val="minor"/>
    </font>
    <font>
      <b/>
      <vertAlign val="subscript"/>
      <sz val="11"/>
      <color theme="1"/>
      <name val="Calibri"/>
      <family val="2"/>
      <scheme val="minor"/>
    </font>
    <font>
      <b/>
      <sz val="9"/>
      <color theme="1"/>
      <name val="Calibri"/>
      <family val="2"/>
      <scheme val="minor"/>
    </font>
    <font>
      <sz val="8"/>
      <name val="Calibri"/>
      <family val="2"/>
      <scheme val="minor"/>
    </font>
    <font>
      <sz val="8"/>
      <color theme="1"/>
      <name val="Calibri"/>
      <family val="2"/>
      <scheme val="minor"/>
    </font>
    <font>
      <sz val="9"/>
      <color theme="1"/>
      <name val="Calibri"/>
      <family val="2"/>
      <scheme val="minor"/>
    </font>
    <font>
      <b/>
      <sz val="14"/>
      <name val="Arial"/>
      <family val="2"/>
    </font>
    <font>
      <sz val="11"/>
      <name val="Calibri"/>
      <family val="2"/>
      <scheme val="minor"/>
    </font>
    <font>
      <sz val="11"/>
      <name val="Calibri"/>
      <family val="2"/>
    </font>
    <font>
      <b/>
      <sz val="11"/>
      <color rgb="FF333333"/>
      <name val="Arial"/>
      <family val="2"/>
    </font>
    <font>
      <sz val="11"/>
      <color rgb="FF333333"/>
      <name val="Arial"/>
      <family val="2"/>
    </font>
    <font>
      <b/>
      <sz val="8"/>
      <color theme="1"/>
      <name val="Calibri"/>
      <family val="2"/>
      <scheme val="minor"/>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3" tint="0.59999389629810485"/>
        <bgColor indexed="64"/>
      </patternFill>
    </fill>
    <fill>
      <gradientFill degree="180">
        <stop position="0">
          <color theme="0"/>
        </stop>
        <stop position="1">
          <color theme="4"/>
        </stop>
      </gradientFill>
    </fill>
    <fill>
      <patternFill patternType="solid">
        <fgColor theme="3"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3300"/>
        <bgColor indexed="64"/>
      </patternFill>
    </fill>
    <fill>
      <patternFill patternType="solid">
        <fgColor rgb="FF00B050"/>
        <bgColor indexed="64"/>
      </patternFill>
    </fill>
    <fill>
      <patternFill patternType="solid">
        <fgColor theme="4" tint="0.59999389629810485"/>
        <bgColor indexed="64"/>
      </patternFill>
    </fill>
    <fill>
      <patternFill patternType="solid">
        <fgColor rgb="FF0070C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000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diagonalUp="1" diagonalDown="1">
      <left/>
      <right/>
      <top style="medium">
        <color indexed="64"/>
      </top>
      <bottom/>
      <diagonal style="thin">
        <color indexed="64"/>
      </diagonal>
    </border>
    <border diagonalUp="1" diagonalDown="1">
      <left/>
      <right/>
      <top/>
      <bottom/>
      <diagonal style="thin">
        <color indexed="64"/>
      </diagonal>
    </border>
    <border diagonalUp="1" diagonalDown="1">
      <left/>
      <right/>
      <top/>
      <bottom style="medium">
        <color indexed="64"/>
      </bottom>
      <diagonal style="thin">
        <color indexed="64"/>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0">
    <xf numFmtId="0" fontId="0" fillId="0" borderId="0"/>
    <xf numFmtId="0" fontId="10" fillId="0" borderId="0" applyNumberFormat="0" applyFill="0" applyBorder="0" applyAlignment="0" applyProtection="0"/>
    <xf numFmtId="0" fontId="11" fillId="0" borderId="1" applyNumberFormat="0" applyFill="0" applyAlignment="0" applyProtection="0"/>
    <xf numFmtId="0" fontId="12" fillId="0" borderId="2" applyNumberFormat="0" applyFill="0" applyAlignment="0" applyProtection="0"/>
    <xf numFmtId="0" fontId="13" fillId="0" borderId="3" applyNumberFormat="0" applyFill="0" applyAlignment="0" applyProtection="0"/>
    <xf numFmtId="0" fontId="13" fillId="0" borderId="0" applyNumberFormat="0" applyFill="0" applyBorder="0" applyAlignment="0" applyProtection="0"/>
    <xf numFmtId="0" fontId="14" fillId="2" borderId="0" applyNumberFormat="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4" applyNumberFormat="0" applyAlignment="0" applyProtection="0"/>
    <xf numFmtId="0" fontId="18" fillId="6" borderId="5" applyNumberFormat="0" applyAlignment="0" applyProtection="0"/>
    <xf numFmtId="0" fontId="19" fillId="6" borderId="4" applyNumberFormat="0" applyAlignment="0" applyProtection="0"/>
    <xf numFmtId="0" fontId="20" fillId="0" borderId="6" applyNumberFormat="0" applyFill="0" applyAlignment="0" applyProtection="0"/>
    <xf numFmtId="0" fontId="21" fillId="7" borderId="7" applyNumberFormat="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5" fillId="32" borderId="0" applyNumberFormat="0" applyBorder="0" applyAlignment="0" applyProtection="0"/>
    <xf numFmtId="0" fontId="6" fillId="0" borderId="0"/>
    <xf numFmtId="0" fontId="6" fillId="8" borderId="8" applyNumberFormat="0" applyFont="0" applyAlignment="0" applyProtection="0"/>
    <xf numFmtId="43" fontId="39" fillId="0" borderId="0" applyFont="0" applyFill="0" applyBorder="0" applyAlignment="0" applyProtection="0"/>
    <xf numFmtId="0" fontId="46" fillId="0" borderId="0" applyNumberFormat="0" applyFill="0" applyBorder="0" applyAlignment="0" applyProtection="0">
      <alignment vertical="top"/>
      <protection locked="0"/>
    </xf>
    <xf numFmtId="9" fontId="60"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4" fillId="0" borderId="0"/>
  </cellStyleXfs>
  <cellXfs count="463">
    <xf numFmtId="0" fontId="0" fillId="0" borderId="0" xfId="0"/>
    <xf numFmtId="0" fontId="7" fillId="0" borderId="0" xfId="0" applyFont="1"/>
    <xf numFmtId="0" fontId="7" fillId="0" borderId="0" xfId="0" applyFont="1" applyBorder="1" applyAlignment="1">
      <alignment vertical="center"/>
    </xf>
    <xf numFmtId="0" fontId="7" fillId="0" borderId="11" xfId="0" applyFont="1" applyBorder="1" applyAlignment="1" applyProtection="1">
      <alignment vertical="center"/>
    </xf>
    <xf numFmtId="0" fontId="7" fillId="0" borderId="0" xfId="0" applyFont="1" applyFill="1" applyBorder="1" applyAlignment="1">
      <alignment vertical="center"/>
    </xf>
    <xf numFmtId="0" fontId="28" fillId="0" borderId="0" xfId="0" applyFont="1"/>
    <xf numFmtId="0" fontId="9" fillId="0" borderId="0" xfId="0" applyFont="1"/>
    <xf numFmtId="0" fontId="9" fillId="0" borderId="0" xfId="0" applyFont="1" applyAlignment="1"/>
    <xf numFmtId="2" fontId="0" fillId="0" borderId="0" xfId="0" applyNumberFormat="1"/>
    <xf numFmtId="2" fontId="0" fillId="34" borderId="0" xfId="0" applyNumberFormat="1" applyFill="1"/>
    <xf numFmtId="0" fontId="7" fillId="0" borderId="0" xfId="0" applyFont="1" applyAlignment="1">
      <alignment horizontal="right"/>
    </xf>
    <xf numFmtId="2" fontId="0" fillId="35" borderId="0" xfId="0" applyNumberFormat="1" applyFill="1"/>
    <xf numFmtId="0" fontId="0" fillId="0" borderId="0" xfId="0" applyFill="1"/>
    <xf numFmtId="49" fontId="7" fillId="0" borderId="0" xfId="0" applyNumberFormat="1" applyFont="1"/>
    <xf numFmtId="0" fontId="7" fillId="0" borderId="0" xfId="0" applyFont="1" applyAlignment="1">
      <alignment vertical="center"/>
    </xf>
    <xf numFmtId="0" fontId="7" fillId="0" borderId="0" xfId="0" applyFont="1" applyFill="1" applyAlignment="1">
      <alignment vertical="center"/>
    </xf>
    <xf numFmtId="0" fontId="0" fillId="0" borderId="0" xfId="0" applyAlignment="1">
      <alignment vertical="center"/>
    </xf>
    <xf numFmtId="2" fontId="0" fillId="34" borderId="0" xfId="0" applyNumberFormat="1" applyFill="1" applyAlignment="1">
      <alignment vertical="center"/>
    </xf>
    <xf numFmtId="0" fontId="26" fillId="0" borderId="0" xfId="0" applyFont="1" applyAlignment="1">
      <alignment vertical="center"/>
    </xf>
    <xf numFmtId="0" fontId="9" fillId="0" borderId="0" xfId="0" applyFont="1" applyAlignment="1">
      <alignment vertical="center"/>
    </xf>
    <xf numFmtId="2" fontId="0" fillId="0" borderId="0" xfId="0" applyNumberFormat="1" applyFill="1" applyAlignment="1">
      <alignment vertical="center"/>
    </xf>
    <xf numFmtId="2" fontId="0" fillId="0" borderId="0" xfId="0" applyNumberFormat="1" applyFill="1"/>
    <xf numFmtId="164" fontId="7" fillId="0" borderId="0" xfId="0" applyNumberFormat="1" applyFont="1" applyBorder="1" applyAlignment="1">
      <alignment vertical="center"/>
    </xf>
    <xf numFmtId="0" fontId="9" fillId="0" borderId="0" xfId="0" applyFont="1" applyBorder="1" applyAlignment="1">
      <alignment vertical="center"/>
    </xf>
    <xf numFmtId="0" fontId="0" fillId="0" borderId="0" xfId="0" applyAlignment="1">
      <alignment horizontal="center"/>
    </xf>
    <xf numFmtId="0" fontId="7" fillId="0" borderId="0" xfId="0" applyFont="1" applyAlignment="1">
      <alignment horizontal="center"/>
    </xf>
    <xf numFmtId="164" fontId="7" fillId="34" borderId="0" xfId="0" applyNumberFormat="1" applyFont="1" applyFill="1" applyBorder="1" applyAlignment="1" applyProtection="1">
      <alignment vertical="center"/>
      <protection locked="0"/>
    </xf>
    <xf numFmtId="164" fontId="7" fillId="0" borderId="0" xfId="0" applyNumberFormat="1" applyFont="1" applyBorder="1" applyAlignment="1"/>
    <xf numFmtId="164" fontId="0" fillId="0" borderId="0" xfId="0" applyNumberFormat="1"/>
    <xf numFmtId="0" fontId="7" fillId="0" borderId="0" xfId="0" applyNumberFormat="1" applyFont="1" applyAlignment="1">
      <alignment horizontal="center"/>
    </xf>
    <xf numFmtId="0" fontId="7" fillId="0" borderId="0" xfId="0" applyNumberFormat="1" applyFont="1" applyBorder="1" applyAlignment="1">
      <alignment vertical="center"/>
    </xf>
    <xf numFmtId="0" fontId="7" fillId="0" borderId="0" xfId="0" applyFont="1" applyBorder="1" applyAlignment="1">
      <alignment horizontal="right" vertical="center"/>
    </xf>
    <xf numFmtId="164" fontId="7" fillId="34" borderId="10" xfId="0" applyNumberFormat="1" applyFont="1" applyFill="1" applyBorder="1" applyAlignment="1" applyProtection="1">
      <alignment vertical="center"/>
      <protection locked="0"/>
    </xf>
    <xf numFmtId="0" fontId="7" fillId="0" borderId="0" xfId="0" applyFont="1" applyBorder="1" applyAlignment="1" applyProtection="1">
      <alignment horizontal="right" vertical="center"/>
    </xf>
    <xf numFmtId="0" fontId="0" fillId="0" borderId="0" xfId="0" applyAlignment="1">
      <alignment horizontal="right"/>
    </xf>
    <xf numFmtId="0" fontId="7" fillId="0" borderId="0" xfId="0" applyFont="1" applyAlignment="1"/>
    <xf numFmtId="0" fontId="0" fillId="0" borderId="0" xfId="0" applyAlignment="1"/>
    <xf numFmtId="0" fontId="7" fillId="0" borderId="0" xfId="0" applyFont="1" applyFill="1" applyBorder="1" applyAlignment="1">
      <alignment horizontal="right" vertical="center"/>
    </xf>
    <xf numFmtId="0" fontId="7" fillId="0" borderId="0" xfId="0" applyFont="1" applyAlignment="1">
      <alignment horizontal="right" vertical="center"/>
    </xf>
    <xf numFmtId="0" fontId="40" fillId="0" borderId="0" xfId="0" applyFont="1" applyAlignment="1">
      <alignment vertical="center"/>
    </xf>
    <xf numFmtId="1" fontId="0" fillId="0" borderId="0" xfId="0" applyNumberFormat="1"/>
    <xf numFmtId="0" fontId="44" fillId="0" borderId="0" xfId="0" applyFont="1"/>
    <xf numFmtId="14" fontId="7" fillId="0" borderId="0" xfId="0" applyNumberFormat="1" applyFont="1" applyAlignment="1">
      <alignment horizontal="left"/>
    </xf>
    <xf numFmtId="0" fontId="7" fillId="0" borderId="0" xfId="0" applyFont="1" applyAlignment="1">
      <alignment horizontal="left"/>
    </xf>
    <xf numFmtId="2" fontId="7" fillId="35" borderId="0" xfId="0" applyNumberFormat="1" applyFont="1" applyFill="1"/>
    <xf numFmtId="164" fontId="7" fillId="0" borderId="0" xfId="0" applyNumberFormat="1" applyFont="1" applyFill="1" applyBorder="1" applyAlignment="1" applyProtection="1">
      <alignment vertical="center"/>
    </xf>
    <xf numFmtId="2" fontId="0" fillId="0" borderId="0" xfId="0" applyNumberFormat="1" applyAlignment="1">
      <alignment horizontal="right"/>
    </xf>
    <xf numFmtId="164" fontId="0" fillId="0" borderId="0" xfId="0" applyNumberFormat="1" applyAlignment="1">
      <alignment horizontal="right"/>
    </xf>
    <xf numFmtId="0" fontId="7" fillId="0" borderId="0" xfId="41" applyFont="1" applyFill="1" applyProtection="1"/>
    <xf numFmtId="0" fontId="49" fillId="0" borderId="0" xfId="0" applyFont="1"/>
    <xf numFmtId="49" fontId="0" fillId="0" borderId="0" xfId="0" applyNumberFormat="1" applyBorder="1" applyAlignment="1">
      <alignment horizontal="center"/>
    </xf>
    <xf numFmtId="0" fontId="0" fillId="0" borderId="0" xfId="0" quotePrefix="1" applyAlignment="1">
      <alignment horizontal="center"/>
    </xf>
    <xf numFmtId="0" fontId="0" fillId="0" borderId="0" xfId="0" quotePrefix="1" applyFill="1" applyBorder="1" applyAlignment="1">
      <alignment horizontal="center"/>
    </xf>
    <xf numFmtId="49" fontId="51" fillId="0" borderId="0" xfId="0" quotePrefix="1" applyNumberFormat="1" applyFont="1" applyAlignment="1">
      <alignment vertical="top" wrapText="1"/>
    </xf>
    <xf numFmtId="2" fontId="7" fillId="34" borderId="0" xfId="0" applyNumberFormat="1" applyFont="1" applyFill="1" applyBorder="1" applyAlignment="1" applyProtection="1">
      <alignment horizontal="right" vertical="center"/>
      <protection locked="0"/>
    </xf>
    <xf numFmtId="0" fontId="55" fillId="38" borderId="0" xfId="0" applyFont="1" applyFill="1" applyAlignment="1">
      <alignment horizontal="center" vertical="center"/>
    </xf>
    <xf numFmtId="0" fontId="7" fillId="0" borderId="10" xfId="0" applyFont="1" applyBorder="1"/>
    <xf numFmtId="0" fontId="0" fillId="0" borderId="10" xfId="0" applyBorder="1"/>
    <xf numFmtId="0" fontId="7" fillId="0" borderId="0" xfId="0" applyFont="1" applyFill="1" applyBorder="1"/>
    <xf numFmtId="0" fontId="0" fillId="0" borderId="21" xfId="0" applyBorder="1"/>
    <xf numFmtId="0" fontId="7" fillId="0" borderId="21" xfId="0" quotePrefix="1" applyFont="1" applyBorder="1"/>
    <xf numFmtId="0" fontId="0" fillId="0" borderId="22" xfId="0" applyBorder="1"/>
    <xf numFmtId="0" fontId="7" fillId="0" borderId="22" xfId="0" quotePrefix="1" applyFont="1" applyBorder="1"/>
    <xf numFmtId="0" fontId="0" fillId="0" borderId="23" xfId="0" applyBorder="1"/>
    <xf numFmtId="0" fontId="7" fillId="0" borderId="23" xfId="0" quotePrefix="1" applyFont="1" applyBorder="1"/>
    <xf numFmtId="0" fontId="7" fillId="0" borderId="22" xfId="0" applyFont="1" applyBorder="1"/>
    <xf numFmtId="0" fontId="7" fillId="0" borderId="23" xfId="0" applyFont="1" applyBorder="1"/>
    <xf numFmtId="0" fontId="7" fillId="0" borderId="10" xfId="0" applyFont="1" applyFill="1" applyBorder="1"/>
    <xf numFmtId="0" fontId="7" fillId="34" borderId="0" xfId="0" applyFont="1" applyFill="1"/>
    <xf numFmtId="0" fontId="7" fillId="34" borderId="10" xfId="0" applyFont="1" applyFill="1" applyBorder="1"/>
    <xf numFmtId="49" fontId="7" fillId="34" borderId="0" xfId="0" applyNumberFormat="1" applyFont="1" applyFill="1" applyAlignment="1">
      <alignment horizontal="center"/>
    </xf>
    <xf numFmtId="0" fontId="0" fillId="0" borderId="19" xfId="0" applyBorder="1" applyProtection="1">
      <protection hidden="1"/>
    </xf>
    <xf numFmtId="0" fontId="54" fillId="0" borderId="19" xfId="0" applyFont="1" applyBorder="1" applyAlignment="1" applyProtection="1">
      <alignment vertical="top" wrapText="1"/>
      <protection hidden="1"/>
    </xf>
    <xf numFmtId="0" fontId="0" fillId="0" borderId="10" xfId="0" applyBorder="1" applyProtection="1">
      <protection hidden="1"/>
    </xf>
    <xf numFmtId="0" fontId="54" fillId="0" borderId="10" xfId="0" applyFont="1" applyBorder="1" applyAlignment="1" applyProtection="1">
      <alignment vertical="top" wrapText="1"/>
      <protection hidden="1"/>
    </xf>
    <xf numFmtId="0" fontId="0" fillId="0" borderId="0" xfId="0" applyProtection="1">
      <protection hidden="1"/>
    </xf>
    <xf numFmtId="0" fontId="50" fillId="0" borderId="0" xfId="0" applyFont="1" applyAlignment="1" applyProtection="1">
      <alignment wrapText="1"/>
      <protection hidden="1"/>
    </xf>
    <xf numFmtId="0" fontId="50" fillId="0" borderId="0" xfId="0" applyFont="1" applyAlignment="1" applyProtection="1">
      <alignment vertical="top" wrapText="1"/>
      <protection hidden="1"/>
    </xf>
    <xf numFmtId="0" fontId="50" fillId="0" borderId="19" xfId="0" applyFont="1" applyBorder="1" applyAlignment="1" applyProtection="1">
      <alignment vertical="top" wrapText="1"/>
      <protection hidden="1"/>
    </xf>
    <xf numFmtId="49" fontId="51" fillId="0" borderId="0" xfId="0" quotePrefix="1" applyNumberFormat="1" applyFont="1" applyAlignment="1" applyProtection="1">
      <alignment vertical="top" wrapText="1"/>
      <protection hidden="1"/>
    </xf>
    <xf numFmtId="0" fontId="51" fillId="0" borderId="0" xfId="0" quotePrefix="1" applyFont="1" applyAlignment="1" applyProtection="1">
      <alignment horizontal="left" vertical="center" wrapText="1"/>
      <protection hidden="1"/>
    </xf>
    <xf numFmtId="0" fontId="51" fillId="0" borderId="0" xfId="0" applyFont="1" applyAlignment="1" applyProtection="1">
      <alignment horizontal="left" vertical="center" wrapText="1"/>
      <protection hidden="1"/>
    </xf>
    <xf numFmtId="0" fontId="51" fillId="0" borderId="0" xfId="0" applyFont="1" applyAlignment="1" applyProtection="1">
      <alignment vertical="top" wrapText="1"/>
      <protection hidden="1"/>
    </xf>
    <xf numFmtId="0" fontId="54" fillId="0" borderId="0" xfId="0" applyFont="1" applyAlignment="1" applyProtection="1">
      <alignment vertical="top" wrapText="1"/>
      <protection hidden="1"/>
    </xf>
    <xf numFmtId="43" fontId="51" fillId="0" borderId="0" xfId="43" applyFont="1" applyAlignment="1" applyProtection="1">
      <alignment vertical="top" wrapText="1"/>
      <protection hidden="1"/>
    </xf>
    <xf numFmtId="0" fontId="53" fillId="0" borderId="0" xfId="0" applyFont="1" applyAlignment="1" applyProtection="1">
      <alignment vertical="top" wrapText="1"/>
      <protection hidden="1"/>
    </xf>
    <xf numFmtId="1" fontId="53" fillId="0" borderId="0" xfId="0" applyNumberFormat="1" applyFont="1" applyAlignment="1" applyProtection="1">
      <alignment horizontal="left" vertical="top" wrapText="1"/>
      <protection hidden="1"/>
    </xf>
    <xf numFmtId="0" fontId="52" fillId="0" borderId="0" xfId="0" applyFont="1" applyAlignment="1" applyProtection="1">
      <alignment vertical="top" wrapText="1"/>
      <protection hidden="1"/>
    </xf>
    <xf numFmtId="0" fontId="53" fillId="0" borderId="0" xfId="0" applyNumberFormat="1" applyFont="1" applyAlignment="1" applyProtection="1">
      <alignment horizontal="right" vertical="top"/>
      <protection hidden="1"/>
    </xf>
    <xf numFmtId="0" fontId="53" fillId="0" borderId="0" xfId="0" quotePrefix="1" applyFont="1" applyAlignment="1" applyProtection="1">
      <alignment horizontal="left" vertical="center" wrapText="1"/>
      <protection hidden="1"/>
    </xf>
    <xf numFmtId="0" fontId="56" fillId="0" borderId="0" xfId="0" applyFont="1" applyAlignment="1" applyProtection="1">
      <alignment vertical="top" wrapText="1"/>
      <protection hidden="1"/>
    </xf>
    <xf numFmtId="0" fontId="51" fillId="0" borderId="0" xfId="0" applyFont="1" applyAlignment="1" applyProtection="1">
      <alignment horizontal="right" vertical="top" wrapText="1"/>
      <protection hidden="1"/>
    </xf>
    <xf numFmtId="0" fontId="0" fillId="0" borderId="0" xfId="0" applyAlignment="1" applyProtection="1">
      <alignment horizontal="right"/>
      <protection hidden="1"/>
    </xf>
    <xf numFmtId="49" fontId="53" fillId="0" borderId="0" xfId="0" quotePrefix="1" applyNumberFormat="1" applyFont="1" applyAlignment="1" applyProtection="1">
      <alignment horizontal="right" vertical="top" wrapText="1"/>
      <protection hidden="1"/>
    </xf>
    <xf numFmtId="49" fontId="51" fillId="0" borderId="0" xfId="0" quotePrefix="1" applyNumberFormat="1" applyFont="1" applyAlignment="1" applyProtection="1">
      <alignment horizontal="right" vertical="top" wrapText="1"/>
      <protection hidden="1"/>
    </xf>
    <xf numFmtId="0" fontId="51" fillId="0" borderId="0" xfId="0" applyNumberFormat="1" applyFont="1" applyAlignment="1" applyProtection="1">
      <alignment vertical="top"/>
      <protection hidden="1"/>
    </xf>
    <xf numFmtId="49" fontId="0" fillId="34" borderId="0" xfId="0" applyNumberFormat="1" applyFill="1" applyAlignment="1">
      <alignment horizontal="center"/>
    </xf>
    <xf numFmtId="49" fontId="0" fillId="0" borderId="0" xfId="0" applyNumberFormat="1" applyAlignment="1">
      <alignment horizontal="center"/>
    </xf>
    <xf numFmtId="0" fontId="34" fillId="0" borderId="0" xfId="0" applyFont="1"/>
    <xf numFmtId="0" fontId="34" fillId="0" borderId="0" xfId="0" quotePrefix="1" applyFont="1"/>
    <xf numFmtId="0" fontId="34" fillId="0" borderId="10" xfId="0" applyFont="1" applyBorder="1"/>
    <xf numFmtId="0" fontId="34" fillId="0" borderId="10" xfId="0" quotePrefix="1" applyFont="1" applyBorder="1"/>
    <xf numFmtId="49" fontId="0" fillId="0" borderId="0" xfId="0" quotePrefix="1" applyNumberFormat="1" applyFill="1" applyBorder="1" applyAlignment="1">
      <alignment horizontal="center"/>
    </xf>
    <xf numFmtId="0" fontId="55" fillId="0" borderId="0" xfId="0" applyFont="1" applyFill="1" applyAlignment="1">
      <alignment horizontal="center" vertical="center"/>
    </xf>
    <xf numFmtId="0" fontId="46" fillId="0" borderId="0" xfId="44" applyAlignment="1" applyProtection="1"/>
    <xf numFmtId="49" fontId="0" fillId="0" borderId="0" xfId="0" quotePrefix="1" applyNumberFormat="1" applyAlignment="1">
      <alignment horizontal="center"/>
    </xf>
    <xf numFmtId="49" fontId="7" fillId="0" borderId="0" xfId="0" quotePrefix="1" applyNumberFormat="1" applyFont="1" applyAlignment="1">
      <alignment horizontal="center"/>
    </xf>
    <xf numFmtId="0" fontId="0" fillId="40" borderId="0" xfId="0" applyFill="1"/>
    <xf numFmtId="0" fontId="7" fillId="40" borderId="0" xfId="0" applyFont="1" applyFill="1"/>
    <xf numFmtId="9" fontId="0" fillId="40" borderId="0" xfId="0" applyNumberFormat="1" applyFill="1"/>
    <xf numFmtId="0" fontId="7" fillId="40" borderId="24" xfId="0" applyFont="1" applyFill="1" applyBorder="1"/>
    <xf numFmtId="0" fontId="0" fillId="40" borderId="24" xfId="0" applyFill="1" applyBorder="1" applyAlignment="1">
      <alignment horizontal="center"/>
    </xf>
    <xf numFmtId="0" fontId="0" fillId="40" borderId="24" xfId="0" applyFill="1" applyBorder="1"/>
    <xf numFmtId="1" fontId="0" fillId="40" borderId="24" xfId="0" applyNumberFormat="1" applyFill="1" applyBorder="1" applyAlignment="1">
      <alignment horizontal="center"/>
    </xf>
    <xf numFmtId="9" fontId="0" fillId="41" borderId="24" xfId="45" applyFont="1" applyFill="1" applyBorder="1" applyAlignment="1">
      <alignment horizontal="center"/>
    </xf>
    <xf numFmtId="0" fontId="8" fillId="40" borderId="24" xfId="0" applyFont="1" applyFill="1" applyBorder="1"/>
    <xf numFmtId="0" fontId="8" fillId="40" borderId="24" xfId="0" applyFont="1" applyFill="1" applyBorder="1" applyAlignment="1">
      <alignment horizontal="center"/>
    </xf>
    <xf numFmtId="1" fontId="0" fillId="40" borderId="0" xfId="0" applyNumberFormat="1" applyFill="1"/>
    <xf numFmtId="0" fontId="29" fillId="0" borderId="0" xfId="0" applyFont="1" applyBorder="1" applyAlignment="1" applyProtection="1">
      <alignment horizontal="center"/>
    </xf>
    <xf numFmtId="0" fontId="9" fillId="0" borderId="0" xfId="0" applyFont="1" applyBorder="1" applyAlignment="1" applyProtection="1">
      <alignment horizontal="center"/>
    </xf>
    <xf numFmtId="0" fontId="0" fillId="0" borderId="0" xfId="0" applyBorder="1" applyProtection="1"/>
    <xf numFmtId="0" fontId="0" fillId="0" borderId="0" xfId="0" applyBorder="1" applyAlignment="1" applyProtection="1">
      <alignment vertical="center"/>
    </xf>
    <xf numFmtId="0" fontId="29" fillId="0" borderId="0" xfId="0" applyFont="1" applyBorder="1" applyAlignment="1" applyProtection="1">
      <alignment vertical="center"/>
    </xf>
    <xf numFmtId="0" fontId="9" fillId="0" borderId="0" xfId="0" applyFont="1" applyBorder="1" applyAlignment="1" applyProtection="1"/>
    <xf numFmtId="0" fontId="9" fillId="0" borderId="24" xfId="0" applyFont="1" applyBorder="1" applyAlignment="1" applyProtection="1">
      <alignment horizontal="left"/>
    </xf>
    <xf numFmtId="0" fontId="9" fillId="39" borderId="24" xfId="0" applyFont="1" applyFill="1" applyBorder="1" applyAlignment="1" applyProtection="1"/>
    <xf numFmtId="0" fontId="0" fillId="0" borderId="0" xfId="0" applyProtection="1"/>
    <xf numFmtId="0" fontId="37" fillId="0" borderId="0" xfId="0" applyFont="1" applyBorder="1" applyAlignment="1" applyProtection="1">
      <alignment vertical="center"/>
    </xf>
    <xf numFmtId="0" fontId="29" fillId="0" borderId="0" xfId="0" applyFont="1" applyAlignment="1" applyProtection="1">
      <alignment vertical="center"/>
    </xf>
    <xf numFmtId="0" fontId="8" fillId="0" borderId="0" xfId="0" applyFont="1" applyAlignment="1" applyProtection="1">
      <alignment vertical="center"/>
    </xf>
    <xf numFmtId="0" fontId="37" fillId="0" borderId="0" xfId="0" applyFont="1" applyBorder="1" applyProtection="1"/>
    <xf numFmtId="0" fontId="0" fillId="0" borderId="0" xfId="0" applyAlignment="1" applyProtection="1">
      <alignment vertical="center"/>
    </xf>
    <xf numFmtId="0" fontId="7" fillId="0" borderId="15" xfId="0" applyFont="1" applyBorder="1" applyAlignment="1" applyProtection="1">
      <alignment vertical="center"/>
    </xf>
    <xf numFmtId="1" fontId="7" fillId="0" borderId="20" xfId="0" applyNumberFormat="1" applyFont="1" applyFill="1" applyBorder="1" applyAlignment="1" applyProtection="1">
      <alignment horizontal="right" vertical="center"/>
    </xf>
    <xf numFmtId="0" fontId="7" fillId="33" borderId="16" xfId="0" applyFont="1" applyFill="1" applyBorder="1" applyAlignment="1" applyProtection="1">
      <alignment vertical="center"/>
    </xf>
    <xf numFmtId="0" fontId="0" fillId="34" borderId="15" xfId="0" applyFill="1" applyBorder="1" applyProtection="1"/>
    <xf numFmtId="49" fontId="7" fillId="0" borderId="20" xfId="0" applyNumberFormat="1" applyFont="1" applyBorder="1" applyAlignment="1" applyProtection="1">
      <alignment horizontal="left" vertical="center"/>
    </xf>
    <xf numFmtId="0" fontId="0" fillId="0" borderId="16" xfId="0" applyBorder="1" applyProtection="1"/>
    <xf numFmtId="164" fontId="7" fillId="0" borderId="20" xfId="0" applyNumberFormat="1" applyFont="1" applyBorder="1" applyAlignment="1" applyProtection="1">
      <alignment horizontal="right" vertical="center"/>
    </xf>
    <xf numFmtId="0" fontId="7" fillId="0" borderId="16" xfId="0" applyNumberFormat="1" applyFont="1" applyBorder="1" applyAlignment="1" applyProtection="1">
      <alignment vertical="center"/>
    </xf>
    <xf numFmtId="164" fontId="7" fillId="0" borderId="19" xfId="0" applyNumberFormat="1" applyFont="1" applyBorder="1" applyAlignment="1" applyProtection="1">
      <alignment horizontal="right" vertical="center"/>
    </xf>
    <xf numFmtId="0" fontId="7" fillId="0" borderId="18" xfId="0" applyNumberFormat="1" applyFont="1" applyBorder="1" applyAlignment="1" applyProtection="1">
      <alignment vertical="center"/>
    </xf>
    <xf numFmtId="164" fontId="7" fillId="0" borderId="10" xfId="0" applyNumberFormat="1" applyFont="1" applyFill="1" applyBorder="1" applyAlignment="1" applyProtection="1">
      <alignment vertical="center"/>
    </xf>
    <xf numFmtId="0" fontId="7" fillId="0" borderId="14" xfId="0" applyNumberFormat="1" applyFont="1" applyBorder="1" applyAlignment="1" applyProtection="1">
      <alignment vertical="center"/>
    </xf>
    <xf numFmtId="0" fontId="7" fillId="0" borderId="0" xfId="0" applyFont="1" applyBorder="1" applyAlignment="1" applyProtection="1">
      <alignment vertical="center"/>
    </xf>
    <xf numFmtId="164" fontId="7" fillId="0" borderId="0" xfId="0" applyNumberFormat="1" applyFont="1" applyBorder="1" applyAlignment="1" applyProtection="1"/>
    <xf numFmtId="0" fontId="7" fillId="0" borderId="12" xfId="0" applyNumberFormat="1" applyFont="1" applyBorder="1" applyAlignment="1" applyProtection="1">
      <alignment vertical="center"/>
    </xf>
    <xf numFmtId="0" fontId="7" fillId="0" borderId="0" xfId="0" applyFont="1" applyFill="1" applyBorder="1" applyAlignment="1" applyProtection="1">
      <alignment vertical="center"/>
    </xf>
    <xf numFmtId="164" fontId="7" fillId="0" borderId="0" xfId="0" applyNumberFormat="1" applyFont="1" applyBorder="1" applyAlignment="1" applyProtection="1">
      <alignment vertical="center"/>
    </xf>
    <xf numFmtId="164" fontId="7" fillId="0" borderId="0" xfId="0" applyNumberFormat="1" applyFont="1" applyBorder="1" applyAlignment="1" applyProtection="1">
      <alignment horizontal="right" vertical="center"/>
    </xf>
    <xf numFmtId="0" fontId="7" fillId="0" borderId="13" xfId="0" applyFont="1" applyBorder="1" applyAlignment="1" applyProtection="1">
      <alignment vertical="center"/>
    </xf>
    <xf numFmtId="164" fontId="7" fillId="0" borderId="10" xfId="0" applyNumberFormat="1" applyFont="1" applyBorder="1" applyAlignment="1" applyProtection="1">
      <alignment vertical="center"/>
    </xf>
    <xf numFmtId="0" fontId="7" fillId="0" borderId="11" xfId="0" applyFont="1" applyFill="1" applyBorder="1" applyAlignment="1" applyProtection="1">
      <alignment vertical="center"/>
    </xf>
    <xf numFmtId="0" fontId="7" fillId="0" borderId="12" xfId="0" applyFont="1" applyBorder="1" applyAlignment="1" applyProtection="1">
      <alignment vertical="center"/>
    </xf>
    <xf numFmtId="164" fontId="0" fillId="0" borderId="0" xfId="0" applyNumberFormat="1" applyFill="1" applyBorder="1" applyAlignment="1" applyProtection="1">
      <alignment vertical="center"/>
    </xf>
    <xf numFmtId="0" fontId="0" fillId="0" borderId="10" xfId="0" applyBorder="1" applyAlignment="1" applyProtection="1">
      <alignment vertical="center"/>
    </xf>
    <xf numFmtId="0" fontId="7" fillId="0" borderId="12" xfId="0" applyFont="1" applyFill="1" applyBorder="1" applyAlignment="1" applyProtection="1">
      <alignment vertical="center"/>
    </xf>
    <xf numFmtId="0" fontId="0" fillId="0" borderId="11" xfId="0" applyBorder="1" applyProtection="1"/>
    <xf numFmtId="0" fontId="7" fillId="0" borderId="19" xfId="0" applyFont="1" applyBorder="1" applyAlignment="1" applyProtection="1">
      <alignment vertical="center"/>
    </xf>
    <xf numFmtId="0" fontId="0" fillId="0" borderId="19" xfId="0" applyBorder="1" applyAlignment="1" applyProtection="1">
      <alignment vertical="center"/>
    </xf>
    <xf numFmtId="0" fontId="7" fillId="0" borderId="17" xfId="0" applyFont="1" applyBorder="1" applyAlignment="1" applyProtection="1">
      <alignment horizontal="left" vertical="center"/>
    </xf>
    <xf numFmtId="0" fontId="0" fillId="0" borderId="19" xfId="0" applyBorder="1" applyProtection="1"/>
    <xf numFmtId="0" fontId="0" fillId="0" borderId="18" xfId="0" applyBorder="1" applyAlignment="1" applyProtection="1">
      <alignment vertical="center"/>
    </xf>
    <xf numFmtId="0" fontId="7" fillId="0" borderId="11" xfId="0" applyFont="1" applyBorder="1" applyAlignment="1" applyProtection="1">
      <alignment horizontal="left" vertical="center"/>
    </xf>
    <xf numFmtId="0" fontId="31" fillId="0" borderId="0" xfId="0" applyFont="1" applyBorder="1" applyAlignment="1" applyProtection="1">
      <alignment horizontal="center" vertical="center"/>
    </xf>
    <xf numFmtId="0" fontId="31" fillId="0" borderId="12" xfId="0" applyFont="1" applyBorder="1" applyAlignment="1" applyProtection="1">
      <alignment horizontal="center" vertical="center"/>
    </xf>
    <xf numFmtId="1" fontId="0" fillId="0" borderId="0" xfId="0" applyNumberFormat="1" applyFill="1" applyBorder="1" applyAlignment="1" applyProtection="1">
      <alignment vertical="center"/>
    </xf>
    <xf numFmtId="2" fontId="0" fillId="0" borderId="0" xfId="0" applyNumberFormat="1" applyFill="1" applyBorder="1" applyAlignment="1" applyProtection="1">
      <alignment horizontal="right" vertical="center"/>
    </xf>
    <xf numFmtId="1" fontId="7" fillId="0" borderId="19" xfId="43" applyNumberFormat="1" applyFont="1" applyFill="1" applyBorder="1" applyAlignment="1" applyProtection="1">
      <alignment vertical="center"/>
    </xf>
    <xf numFmtId="0" fontId="7" fillId="0" borderId="18" xfId="0" applyFont="1" applyBorder="1" applyAlignment="1" applyProtection="1">
      <alignment vertical="center"/>
    </xf>
    <xf numFmtId="2" fontId="0" fillId="0" borderId="10" xfId="0" applyNumberFormat="1" applyFill="1" applyBorder="1" applyAlignment="1" applyProtection="1">
      <alignment horizontal="right" vertical="center"/>
    </xf>
    <xf numFmtId="1" fontId="7" fillId="0" borderId="10" xfId="0" applyNumberFormat="1" applyFont="1" applyFill="1" applyBorder="1" applyAlignment="1" applyProtection="1">
      <alignment vertical="center"/>
    </xf>
    <xf numFmtId="0" fontId="31" fillId="0" borderId="15" xfId="0" applyFont="1" applyBorder="1" applyAlignment="1" applyProtection="1">
      <alignment horizontal="center" vertical="center"/>
    </xf>
    <xf numFmtId="0" fontId="31" fillId="0" borderId="20" xfId="0" applyFont="1" applyBorder="1" applyAlignment="1" applyProtection="1">
      <alignment horizontal="center" vertical="center"/>
    </xf>
    <xf numFmtId="0" fontId="31" fillId="0" borderId="16" xfId="0" applyFont="1" applyBorder="1" applyAlignment="1" applyProtection="1">
      <alignment horizontal="center" vertical="center"/>
    </xf>
    <xf numFmtId="2" fontId="34" fillId="0" borderId="0" xfId="0" applyNumberFormat="1" applyFont="1" applyBorder="1" applyAlignment="1" applyProtection="1">
      <alignment vertical="top" wrapText="1"/>
    </xf>
    <xf numFmtId="0" fontId="8" fillId="0" borderId="0" xfId="0" applyFont="1" applyBorder="1" applyAlignment="1" applyProtection="1">
      <alignment horizontal="center" vertical="center"/>
    </xf>
    <xf numFmtId="2" fontId="7" fillId="0" borderId="0" xfId="0" applyNumberFormat="1" applyFont="1" applyBorder="1" applyAlignment="1" applyProtection="1">
      <alignment horizontal="right" vertical="center"/>
    </xf>
    <xf numFmtId="0" fontId="7" fillId="0" borderId="12" xfId="0" applyFont="1" applyBorder="1" applyAlignment="1" applyProtection="1">
      <alignment horizontal="left" vertical="center"/>
    </xf>
    <xf numFmtId="0" fontId="31" fillId="0" borderId="0" xfId="0" applyFont="1" applyBorder="1" applyAlignment="1" applyProtection="1">
      <alignment vertical="center"/>
    </xf>
    <xf numFmtId="0" fontId="8" fillId="0" borderId="0" xfId="0" applyNumberFormat="1" applyFont="1" applyBorder="1" applyAlignment="1" applyProtection="1"/>
    <xf numFmtId="0" fontId="7" fillId="0" borderId="0" xfId="0" applyFont="1" applyAlignment="1" applyProtection="1">
      <alignment horizontal="left" vertical="top" wrapText="1"/>
    </xf>
    <xf numFmtId="49" fontId="34" fillId="0" borderId="0" xfId="0" applyNumberFormat="1" applyFont="1" applyBorder="1" applyAlignment="1" applyProtection="1">
      <alignment vertical="top" wrapText="1"/>
    </xf>
    <xf numFmtId="1" fontId="7" fillId="0" borderId="0" xfId="0" applyNumberFormat="1" applyFont="1" applyBorder="1" applyAlignment="1" applyProtection="1">
      <alignment horizontal="right" vertical="center"/>
    </xf>
    <xf numFmtId="0" fontId="7" fillId="0" borderId="13" xfId="0" applyFont="1" applyFill="1" applyBorder="1" applyAlignment="1" applyProtection="1">
      <alignment vertical="center"/>
    </xf>
    <xf numFmtId="1" fontId="7" fillId="0" borderId="10" xfId="0" applyNumberFormat="1" applyFont="1" applyBorder="1" applyAlignment="1" applyProtection="1">
      <alignment horizontal="right" vertical="center"/>
    </xf>
    <xf numFmtId="0" fontId="7" fillId="0" borderId="14" xfId="0" applyFont="1" applyFill="1" applyBorder="1" applyAlignment="1" applyProtection="1">
      <alignment vertical="center"/>
    </xf>
    <xf numFmtId="0" fontId="0" fillId="0" borderId="27" xfId="0" applyBorder="1" applyProtection="1"/>
    <xf numFmtId="0" fontId="29" fillId="0" borderId="27" xfId="0" applyFont="1" applyBorder="1" applyAlignment="1" applyProtection="1"/>
    <xf numFmtId="0" fontId="9" fillId="0" borderId="0" xfId="0" applyFont="1" applyBorder="1" applyAlignment="1" applyProtection="1">
      <alignment horizontal="left"/>
    </xf>
    <xf numFmtId="0" fontId="9" fillId="0" borderId="0" xfId="0" applyFont="1" applyFill="1" applyBorder="1" applyAlignment="1" applyProtection="1">
      <alignment horizontal="center"/>
    </xf>
    <xf numFmtId="0" fontId="0" fillId="0" borderId="0" xfId="0" applyAlignment="1" applyProtection="1">
      <alignment horizontal="center" vertical="center"/>
    </xf>
    <xf numFmtId="0" fontId="47" fillId="0" borderId="0" xfId="0" applyNumberFormat="1" applyFont="1" applyBorder="1" applyAlignment="1" applyProtection="1">
      <alignment vertical="top" wrapText="1"/>
    </xf>
    <xf numFmtId="0" fontId="7" fillId="0" borderId="0" xfId="0" applyFont="1" applyAlignment="1" applyProtection="1">
      <alignment vertical="top" wrapText="1"/>
    </xf>
    <xf numFmtId="0" fontId="9" fillId="34" borderId="24" xfId="0" applyFont="1" applyFill="1" applyBorder="1" applyAlignment="1" applyProtection="1">
      <protection locked="0"/>
    </xf>
    <xf numFmtId="0" fontId="7" fillId="0" borderId="24" xfId="0" applyFont="1" applyBorder="1" applyAlignment="1" applyProtection="1">
      <alignment horizontal="left" vertical="top" wrapText="1"/>
    </xf>
    <xf numFmtId="1" fontId="7" fillId="34" borderId="24" xfId="0" applyNumberFormat="1" applyFont="1" applyFill="1" applyBorder="1" applyAlignment="1" applyProtection="1">
      <alignment horizontal="right" vertical="center" wrapText="1"/>
      <protection locked="0"/>
    </xf>
    <xf numFmtId="165" fontId="7" fillId="34" borderId="24" xfId="43" applyNumberFormat="1" applyFont="1" applyFill="1" applyBorder="1" applyAlignment="1" applyProtection="1">
      <alignment horizontal="right" vertical="center" wrapText="1"/>
      <protection locked="0"/>
    </xf>
    <xf numFmtId="164" fontId="7" fillId="34" borderId="24" xfId="0" applyNumberFormat="1" applyFont="1" applyFill="1" applyBorder="1" applyAlignment="1" applyProtection="1">
      <alignment horizontal="right" vertical="center" wrapText="1"/>
      <protection locked="0"/>
    </xf>
    <xf numFmtId="1" fontId="61" fillId="33" borderId="24" xfId="0" applyNumberFormat="1" applyFont="1" applyFill="1" applyBorder="1" applyAlignment="1" applyProtection="1">
      <alignment horizontal="right" vertical="center" wrapText="1"/>
    </xf>
    <xf numFmtId="164" fontId="61" fillId="33" borderId="24" xfId="0" applyNumberFormat="1" applyFont="1" applyFill="1" applyBorder="1" applyAlignment="1" applyProtection="1">
      <alignment horizontal="right" vertical="center" wrapText="1"/>
    </xf>
    <xf numFmtId="164" fontId="7" fillId="0" borderId="24" xfId="0" applyNumberFormat="1" applyFont="1" applyFill="1" applyBorder="1" applyAlignment="1" applyProtection="1">
      <alignment horizontal="right" vertical="center" wrapText="1"/>
    </xf>
    <xf numFmtId="0" fontId="7" fillId="34" borderId="24" xfId="0" applyFont="1" applyFill="1" applyBorder="1" applyAlignment="1" applyProtection="1">
      <alignment horizontal="right" vertical="center" wrapText="1"/>
      <protection locked="0"/>
    </xf>
    <xf numFmtId="0" fontId="36" fillId="0" borderId="0" xfId="0" applyFont="1" applyBorder="1" applyAlignment="1" applyProtection="1">
      <alignment horizontal="left" vertical="center"/>
    </xf>
    <xf numFmtId="0" fontId="7" fillId="0" borderId="0" xfId="0" applyFont="1" applyAlignment="1" applyProtection="1">
      <alignment horizontal="left" vertical="top" wrapText="1"/>
    </xf>
    <xf numFmtId="0" fontId="0" fillId="34" borderId="0" xfId="0" applyFill="1"/>
    <xf numFmtId="9" fontId="0" fillId="34" borderId="0" xfId="0" applyNumberFormat="1" applyFill="1"/>
    <xf numFmtId="165" fontId="0" fillId="0" borderId="0" xfId="43" applyNumberFormat="1" applyFont="1"/>
    <xf numFmtId="165" fontId="0" fillId="0" borderId="0" xfId="43" applyNumberFormat="1" applyFont="1" applyFill="1"/>
    <xf numFmtId="0" fontId="62" fillId="0" borderId="0" xfId="46" applyFont="1"/>
    <xf numFmtId="0" fontId="63" fillId="0" borderId="0" xfId="46" applyFont="1"/>
    <xf numFmtId="0" fontId="63" fillId="0" borderId="0" xfId="46" applyFont="1" applyAlignment="1">
      <alignment horizontal="center" vertical="center"/>
    </xf>
    <xf numFmtId="0" fontId="63" fillId="0" borderId="0" xfId="46" applyFont="1" applyAlignment="1">
      <alignment horizontal="center"/>
    </xf>
    <xf numFmtId="0" fontId="63" fillId="0" borderId="0" xfId="46" applyFont="1" applyAlignment="1">
      <alignment wrapText="1"/>
    </xf>
    <xf numFmtId="0" fontId="63" fillId="0" borderId="0" xfId="46" applyFont="1" applyAlignment="1">
      <alignment vertical="center"/>
    </xf>
    <xf numFmtId="9" fontId="63" fillId="0" borderId="0" xfId="47" applyFont="1" applyAlignment="1">
      <alignment horizontal="center" vertical="center"/>
    </xf>
    <xf numFmtId="0" fontId="24" fillId="0" borderId="0" xfId="46" applyFont="1"/>
    <xf numFmtId="0" fontId="5" fillId="0" borderId="0" xfId="46" applyAlignment="1">
      <alignment horizontal="center" vertical="center"/>
    </xf>
    <xf numFmtId="0" fontId="5" fillId="0" borderId="0" xfId="46" applyAlignment="1">
      <alignment horizontal="center"/>
    </xf>
    <xf numFmtId="0" fontId="5" fillId="0" borderId="0" xfId="46"/>
    <xf numFmtId="0" fontId="5" fillId="0" borderId="0" xfId="46" applyAlignment="1">
      <alignment wrapText="1"/>
    </xf>
    <xf numFmtId="0" fontId="5" fillId="0" borderId="0" xfId="46" applyAlignment="1">
      <alignment vertical="center"/>
    </xf>
    <xf numFmtId="9" fontId="0" fillId="0" borderId="0" xfId="47" applyFont="1" applyAlignment="1">
      <alignment horizontal="center" vertical="center"/>
    </xf>
    <xf numFmtId="0" fontId="24" fillId="0" borderId="24" xfId="46" applyFont="1" applyBorder="1" applyAlignment="1">
      <alignment horizontal="left"/>
    </xf>
    <xf numFmtId="0" fontId="5" fillId="0" borderId="24" xfId="46" applyBorder="1" applyAlignment="1">
      <alignment horizontal="left"/>
    </xf>
    <xf numFmtId="0" fontId="5" fillId="0" borderId="24" xfId="46" applyBorder="1" applyAlignment="1">
      <alignment horizontal="center" vertical="center"/>
    </xf>
    <xf numFmtId="0" fontId="5" fillId="0" borderId="24" xfId="46" applyBorder="1" applyAlignment="1">
      <alignment horizontal="center"/>
    </xf>
    <xf numFmtId="9" fontId="0" fillId="0" borderId="24" xfId="47" applyFont="1" applyBorder="1" applyAlignment="1">
      <alignment horizontal="center" vertical="center"/>
    </xf>
    <xf numFmtId="0" fontId="24" fillId="0" borderId="24" xfId="46" applyFont="1" applyBorder="1" applyAlignment="1">
      <alignment horizontal="left" wrapText="1"/>
    </xf>
    <xf numFmtId="0" fontId="24" fillId="0" borderId="24" xfId="46" applyFont="1" applyBorder="1" applyAlignment="1">
      <alignment horizontal="center" vertical="center" textRotation="90"/>
    </xf>
    <xf numFmtId="0" fontId="24" fillId="0" borderId="24" xfId="46" applyFont="1" applyBorder="1" applyAlignment="1">
      <alignment horizontal="center" wrapText="1"/>
    </xf>
    <xf numFmtId="9" fontId="24" fillId="0" borderId="24" xfId="46" applyNumberFormat="1" applyFont="1" applyBorder="1" applyAlignment="1">
      <alignment wrapText="1"/>
    </xf>
    <xf numFmtId="9" fontId="24" fillId="0" borderId="24" xfId="46" applyNumberFormat="1" applyFont="1" applyBorder="1" applyAlignment="1">
      <alignment horizontal="center" wrapText="1"/>
    </xf>
    <xf numFmtId="0" fontId="24" fillId="0" borderId="24" xfId="46" applyFont="1" applyBorder="1" applyAlignment="1">
      <alignment horizontal="center" vertical="center" wrapText="1"/>
    </xf>
    <xf numFmtId="0" fontId="24" fillId="0" borderId="25" xfId="46" applyFont="1" applyBorder="1" applyAlignment="1">
      <alignment horizontal="center" vertical="center" wrapText="1"/>
    </xf>
    <xf numFmtId="0" fontId="65" fillId="0" borderId="24" xfId="46" applyFont="1" applyBorder="1" applyAlignment="1">
      <alignment textRotation="90"/>
    </xf>
    <xf numFmtId="0" fontId="24" fillId="0" borderId="0" xfId="46" applyFont="1" applyAlignment="1">
      <alignment wrapText="1"/>
    </xf>
    <xf numFmtId="0" fontId="8" fillId="0" borderId="24" xfId="46" applyFont="1" applyBorder="1" applyAlignment="1">
      <alignment vertical="center" wrapText="1"/>
    </xf>
    <xf numFmtId="9" fontId="8" fillId="0" borderId="24" xfId="47" applyFont="1" applyBorder="1" applyAlignment="1">
      <alignment horizontal="center" vertical="center" wrapText="1"/>
    </xf>
    <xf numFmtId="0" fontId="24" fillId="0" borderId="24" xfId="46" applyFont="1" applyBorder="1" applyAlignment="1">
      <alignment vertical="center" wrapText="1"/>
    </xf>
    <xf numFmtId="0" fontId="24" fillId="0" borderId="24" xfId="46" applyFont="1" applyBorder="1" applyAlignment="1">
      <alignment wrapText="1"/>
    </xf>
    <xf numFmtId="164" fontId="65" fillId="0" borderId="24" xfId="46" applyNumberFormat="1" applyFont="1" applyBorder="1" applyAlignment="1">
      <alignment horizontal="center"/>
    </xf>
    <xf numFmtId="1" fontId="65" fillId="0" borderId="24" xfId="46" applyNumberFormat="1" applyFont="1" applyBorder="1" applyAlignment="1">
      <alignment horizontal="center"/>
    </xf>
    <xf numFmtId="0" fontId="24" fillId="0" borderId="25" xfId="46" applyFont="1" applyBorder="1" applyAlignment="1">
      <alignment horizontal="center" wrapText="1"/>
    </xf>
    <xf numFmtId="0" fontId="24" fillId="0" borderId="31" xfId="46" applyFont="1" applyBorder="1" applyAlignment="1">
      <alignment horizontal="center" wrapText="1"/>
    </xf>
    <xf numFmtId="0" fontId="24" fillId="0" borderId="26" xfId="46" applyFont="1" applyBorder="1" applyAlignment="1">
      <alignment horizontal="center" wrapText="1"/>
    </xf>
    <xf numFmtId="9" fontId="65" fillId="0" borderId="24" xfId="47" applyFont="1" applyBorder="1" applyAlignment="1">
      <alignment horizontal="center"/>
    </xf>
    <xf numFmtId="0" fontId="24" fillId="0" borderId="24" xfId="46" applyFont="1" applyBorder="1" applyAlignment="1">
      <alignment horizontal="center"/>
    </xf>
    <xf numFmtId="0" fontId="15" fillId="3" borderId="24" xfId="7" applyBorder="1" applyAlignment="1">
      <alignment horizontal="center"/>
    </xf>
    <xf numFmtId="0" fontId="24" fillId="0" borderId="24" xfId="46" applyFont="1" applyBorder="1" applyAlignment="1">
      <alignment vertical="center"/>
    </xf>
    <xf numFmtId="9" fontId="24" fillId="0" borderId="24" xfId="47" applyFont="1" applyBorder="1" applyAlignment="1">
      <alignment horizontal="center" vertical="center"/>
    </xf>
    <xf numFmtId="0" fontId="24" fillId="43" borderId="24" xfId="46" applyFont="1" applyFill="1" applyBorder="1" applyAlignment="1">
      <alignment wrapText="1"/>
    </xf>
    <xf numFmtId="0" fontId="24" fillId="43" borderId="24" xfId="46" applyFont="1" applyFill="1" applyBorder="1"/>
    <xf numFmtId="0" fontId="24" fillId="0" borderId="24" xfId="46" applyFont="1" applyBorder="1"/>
    <xf numFmtId="0" fontId="24" fillId="40" borderId="25" xfId="46" applyFont="1" applyFill="1" applyBorder="1" applyAlignment="1">
      <alignment horizontal="center" vertical="center"/>
    </xf>
    <xf numFmtId="0" fontId="24" fillId="40" borderId="31" xfId="46" applyFont="1" applyFill="1" applyBorder="1" applyAlignment="1">
      <alignment horizontal="center" vertical="center"/>
    </xf>
    <xf numFmtId="0" fontId="24" fillId="0" borderId="24" xfId="46" applyFont="1" applyBorder="1" applyAlignment="1">
      <alignment horizontal="left" vertical="center"/>
    </xf>
    <xf numFmtId="0" fontId="5" fillId="0" borderId="24" xfId="46" applyBorder="1" applyAlignment="1">
      <alignment horizontal="left" vertical="center"/>
    </xf>
    <xf numFmtId="0" fontId="5" fillId="0" borderId="32" xfId="46" applyBorder="1" applyAlignment="1">
      <alignment horizontal="center" vertical="center"/>
    </xf>
    <xf numFmtId="9" fontId="0" fillId="39" borderId="24" xfId="47" applyFont="1" applyFill="1" applyBorder="1" applyAlignment="1">
      <alignment horizontal="center" vertical="center"/>
    </xf>
    <xf numFmtId="9" fontId="0" fillId="0" borderId="24" xfId="47" applyFont="1" applyFill="1" applyBorder="1" applyAlignment="1">
      <alignment horizontal="center" vertical="center"/>
    </xf>
    <xf numFmtId="9" fontId="0" fillId="0" borderId="24" xfId="47" applyFont="1" applyBorder="1" applyAlignment="1">
      <alignment vertical="center"/>
    </xf>
    <xf numFmtId="0" fontId="5" fillId="39" borderId="24" xfId="46" applyFill="1" applyBorder="1" applyAlignment="1">
      <alignment horizontal="center" vertical="center"/>
    </xf>
    <xf numFmtId="0" fontId="15" fillId="3" borderId="24" xfId="7" applyBorder="1" applyAlignment="1">
      <alignment horizontal="center" vertical="center"/>
    </xf>
    <xf numFmtId="0" fontId="5" fillId="34" borderId="24" xfId="46" applyFill="1" applyBorder="1" applyAlignment="1">
      <alignment horizontal="center" vertical="center"/>
    </xf>
    <xf numFmtId="0" fontId="66" fillId="39" borderId="24" xfId="46" applyFont="1" applyFill="1" applyBorder="1" applyAlignment="1">
      <alignment horizontal="center" vertical="center" wrapText="1"/>
    </xf>
    <xf numFmtId="9" fontId="67" fillId="0" borderId="24" xfId="47" applyFont="1" applyBorder="1" applyAlignment="1">
      <alignment vertical="center"/>
    </xf>
    <xf numFmtId="9" fontId="67" fillId="39" borderId="24" xfId="47" applyFont="1" applyFill="1" applyBorder="1" applyAlignment="1">
      <alignment vertical="center"/>
    </xf>
    <xf numFmtId="0" fontId="5" fillId="0" borderId="24" xfId="46" applyBorder="1" applyAlignment="1">
      <alignment vertical="center"/>
    </xf>
    <xf numFmtId="9" fontId="68" fillId="0" borderId="24" xfId="47" applyFont="1" applyBorder="1" applyAlignment="1">
      <alignment vertical="center"/>
    </xf>
    <xf numFmtId="9" fontId="68" fillId="39" borderId="24" xfId="47" applyFont="1" applyFill="1" applyBorder="1" applyAlignment="1">
      <alignment horizontal="center" vertical="center"/>
    </xf>
    <xf numFmtId="0" fontId="5" fillId="0" borderId="24" xfId="46" applyBorder="1" applyAlignment="1">
      <alignment horizontal="center" vertical="center" wrapText="1"/>
    </xf>
    <xf numFmtId="9" fontId="0" fillId="0" borderId="0" xfId="47" applyFont="1" applyAlignment="1">
      <alignment vertical="center"/>
    </xf>
    <xf numFmtId="1" fontId="5" fillId="0" borderId="24" xfId="46" applyNumberFormat="1" applyBorder="1" applyAlignment="1">
      <alignment horizontal="center" vertical="center"/>
    </xf>
    <xf numFmtId="9" fontId="7" fillId="0" borderId="24" xfId="46" applyNumberFormat="1" applyFont="1" applyBorder="1" applyAlignment="1">
      <alignment vertical="center"/>
    </xf>
    <xf numFmtId="0" fontId="6" fillId="0" borderId="0" xfId="41"/>
    <xf numFmtId="0" fontId="69" fillId="0" borderId="0" xfId="41" applyFont="1"/>
    <xf numFmtId="1" fontId="69" fillId="0" borderId="0" xfId="41" applyNumberFormat="1" applyFont="1"/>
    <xf numFmtId="0" fontId="44" fillId="44" borderId="0" xfId="41" applyFont="1" applyFill="1"/>
    <xf numFmtId="0" fontId="9" fillId="0" borderId="0" xfId="41" applyFont="1" applyAlignment="1">
      <alignment horizontal="right"/>
    </xf>
    <xf numFmtId="2" fontId="6" fillId="0" borderId="0" xfId="41" applyNumberFormat="1"/>
    <xf numFmtId="9" fontId="70" fillId="0" borderId="24" xfId="46" quotePrefix="1" applyNumberFormat="1" applyFont="1" applyBorder="1" applyAlignment="1">
      <alignment horizontal="center" vertical="center" wrapText="1"/>
    </xf>
    <xf numFmtId="0" fontId="24" fillId="0" borderId="0" xfId="46" applyFont="1" applyFill="1" applyBorder="1" applyAlignment="1">
      <alignment horizontal="center" wrapText="1"/>
    </xf>
    <xf numFmtId="2" fontId="7" fillId="0" borderId="10" xfId="0" applyNumberFormat="1" applyFont="1" applyFill="1" applyBorder="1" applyAlignment="1" applyProtection="1">
      <alignment vertical="center"/>
    </xf>
    <xf numFmtId="3" fontId="5" fillId="0" borderId="24" xfId="46" applyNumberFormat="1" applyBorder="1" applyAlignment="1">
      <alignment horizontal="center" vertical="center"/>
    </xf>
    <xf numFmtId="1" fontId="8" fillId="42" borderId="0" xfId="0" applyNumberFormat="1" applyFont="1" applyFill="1" applyBorder="1" applyAlignment="1">
      <alignment vertical="center"/>
    </xf>
    <xf numFmtId="1" fontId="7" fillId="0" borderId="0" xfId="0" applyNumberFormat="1" applyFont="1" applyBorder="1" applyAlignment="1">
      <alignment vertical="center"/>
    </xf>
    <xf numFmtId="1" fontId="8" fillId="34" borderId="24" xfId="0" applyNumberFormat="1" applyFont="1" applyFill="1" applyBorder="1" applyAlignment="1" applyProtection="1">
      <alignment horizontal="left" vertical="center" wrapText="1"/>
      <protection locked="0"/>
    </xf>
    <xf numFmtId="0" fontId="71" fillId="0" borderId="0" xfId="0" quotePrefix="1" applyFont="1"/>
    <xf numFmtId="0" fontId="7" fillId="0" borderId="0" xfId="0" applyFont="1" applyFill="1"/>
    <xf numFmtId="165" fontId="0" fillId="34" borderId="0" xfId="43" applyNumberFormat="1" applyFont="1" applyFill="1"/>
    <xf numFmtId="43" fontId="0" fillId="0" borderId="0" xfId="0" applyNumberFormat="1"/>
    <xf numFmtId="1" fontId="8" fillId="34" borderId="0" xfId="0" applyNumberFormat="1" applyFont="1" applyFill="1" applyBorder="1" applyAlignment="1">
      <alignment vertical="center"/>
    </xf>
    <xf numFmtId="0" fontId="72" fillId="45" borderId="0" xfId="46" applyFont="1" applyFill="1" applyAlignment="1">
      <alignment vertical="center" wrapText="1"/>
    </xf>
    <xf numFmtId="0" fontId="72" fillId="45" borderId="0" xfId="46" applyFont="1" applyFill="1" applyAlignment="1">
      <alignment horizontal="center" vertical="center" wrapText="1"/>
    </xf>
    <xf numFmtId="0" fontId="72" fillId="0" borderId="0" xfId="46" applyFont="1" applyAlignment="1">
      <alignment vertical="center" wrapText="1"/>
    </xf>
    <xf numFmtId="0" fontId="65" fillId="0" borderId="24" xfId="46" applyFont="1" applyBorder="1" applyAlignment="1">
      <alignment wrapText="1"/>
    </xf>
    <xf numFmtId="43" fontId="73" fillId="45" borderId="0" xfId="48" applyFont="1" applyFill="1" applyAlignment="1">
      <alignment horizontal="center" vertical="center" wrapText="1"/>
    </xf>
    <xf numFmtId="166" fontId="73" fillId="0" borderId="0" xfId="47" applyNumberFormat="1" applyFont="1" applyAlignment="1">
      <alignment horizontal="right" vertical="center" wrapText="1"/>
    </xf>
    <xf numFmtId="166" fontId="73" fillId="45" borderId="0" xfId="47" applyNumberFormat="1" applyFont="1" applyFill="1" applyAlignment="1">
      <alignment horizontal="right" vertical="center" wrapText="1"/>
    </xf>
    <xf numFmtId="9" fontId="0" fillId="0" borderId="0" xfId="47" applyFont="1"/>
    <xf numFmtId="0" fontId="73" fillId="45" borderId="0" xfId="46" applyFont="1" applyFill="1" applyAlignment="1">
      <alignment horizontal="center" vertical="center" wrapText="1"/>
    </xf>
    <xf numFmtId="164" fontId="7" fillId="40" borderId="24" xfId="0" applyNumberFormat="1" applyFont="1" applyFill="1" applyBorder="1" applyAlignment="1">
      <alignment horizontal="center"/>
    </xf>
    <xf numFmtId="0" fontId="72" fillId="46" borderId="0" xfId="46" applyFont="1" applyFill="1" applyAlignment="1">
      <alignment horizontal="center" vertical="center" wrapText="1"/>
    </xf>
    <xf numFmtId="0" fontId="24" fillId="46" borderId="0" xfId="46" applyFont="1" applyFill="1" applyAlignment="1">
      <alignment horizontal="center"/>
    </xf>
    <xf numFmtId="2" fontId="5" fillId="34" borderId="0" xfId="46" applyNumberFormat="1" applyFill="1"/>
    <xf numFmtId="9" fontId="0" fillId="40" borderId="24" xfId="45" applyFont="1" applyFill="1" applyBorder="1" applyAlignment="1">
      <alignment horizontal="center"/>
    </xf>
    <xf numFmtId="0" fontId="5" fillId="0" borderId="0" xfId="41" applyFont="1"/>
    <xf numFmtId="0" fontId="8" fillId="0" borderId="24" xfId="0" applyFont="1" applyBorder="1" applyAlignment="1" applyProtection="1">
      <alignment horizontal="left" vertical="center" wrapText="1"/>
    </xf>
    <xf numFmtId="0" fontId="8" fillId="0" borderId="24" xfId="0" applyFont="1" applyBorder="1" applyAlignment="1" applyProtection="1">
      <alignment horizontal="right" vertical="center" wrapText="1"/>
    </xf>
    <xf numFmtId="0" fontId="50" fillId="40" borderId="0" xfId="0" applyFont="1" applyFill="1"/>
    <xf numFmtId="0" fontId="4" fillId="0" borderId="0" xfId="49"/>
    <xf numFmtId="14" fontId="4" fillId="0" borderId="0" xfId="49" applyNumberFormat="1"/>
    <xf numFmtId="0" fontId="4" fillId="0" borderId="0" xfId="41" applyFont="1"/>
    <xf numFmtId="0" fontId="29" fillId="0" borderId="27" xfId="0" applyFont="1" applyBorder="1" applyAlignment="1" applyProtection="1">
      <alignment wrapText="1"/>
    </xf>
    <xf numFmtId="0" fontId="0" fillId="0" borderId="0" xfId="0" applyAlignment="1">
      <alignment wrapText="1"/>
    </xf>
    <xf numFmtId="0" fontId="0" fillId="0" borderId="27" xfId="0" applyBorder="1" applyAlignment="1" applyProtection="1">
      <alignment wrapText="1"/>
    </xf>
    <xf numFmtId="0" fontId="24" fillId="0" borderId="24" xfId="46" applyFont="1" applyBorder="1" applyAlignment="1">
      <alignment horizontal="center" wrapText="1"/>
    </xf>
    <xf numFmtId="0" fontId="24" fillId="0" borderId="25" xfId="46" applyFont="1" applyBorder="1" applyAlignment="1">
      <alignment horizontal="center" wrapText="1"/>
    </xf>
    <xf numFmtId="0" fontId="5" fillId="0" borderId="25" xfId="46" applyBorder="1" applyAlignment="1">
      <alignment horizontal="center"/>
    </xf>
    <xf numFmtId="0" fontId="3" fillId="0" borderId="0" xfId="49" applyFont="1"/>
    <xf numFmtId="0" fontId="3" fillId="0" borderId="24" xfId="46" applyFont="1" applyBorder="1" applyAlignment="1">
      <alignment horizontal="center" vertical="center"/>
    </xf>
    <xf numFmtId="0" fontId="70" fillId="0" borderId="0" xfId="49" applyFont="1"/>
    <xf numFmtId="0" fontId="2" fillId="0" borderId="24" xfId="49" applyFont="1" applyBorder="1"/>
    <xf numFmtId="0" fontId="2" fillId="0" borderId="24" xfId="49" applyFont="1" applyBorder="1" applyAlignment="1">
      <alignment vertical="center"/>
    </xf>
    <xf numFmtId="0" fontId="24" fillId="0" borderId="25" xfId="46" applyFont="1" applyBorder="1" applyAlignment="1">
      <alignment horizontal="center"/>
    </xf>
    <xf numFmtId="0" fontId="5" fillId="0" borderId="25" xfId="46" applyBorder="1" applyAlignment="1">
      <alignment horizontal="center" vertical="center"/>
    </xf>
    <xf numFmtId="0" fontId="3" fillId="0" borderId="25" xfId="46" applyFont="1" applyBorder="1" applyAlignment="1">
      <alignment horizontal="center" vertical="center"/>
    </xf>
    <xf numFmtId="0" fontId="5" fillId="0" borderId="24" xfId="46" applyBorder="1"/>
    <xf numFmtId="0" fontId="24" fillId="40" borderId="24" xfId="46" applyFont="1" applyFill="1" applyBorder="1" applyAlignment="1">
      <alignment horizontal="center" vertical="center"/>
    </xf>
    <xf numFmtId="0" fontId="3" fillId="0" borderId="24" xfId="46" applyFont="1" applyBorder="1" applyAlignment="1">
      <alignment vertical="center" wrapText="1"/>
    </xf>
    <xf numFmtId="0" fontId="5" fillId="0" borderId="24" xfId="46" applyBorder="1" applyAlignment="1">
      <alignment vertical="center" wrapText="1"/>
    </xf>
    <xf numFmtId="0" fontId="71" fillId="0" borderId="24" xfId="0" applyFont="1" applyBorder="1" applyAlignment="1">
      <alignment vertical="center" wrapText="1"/>
    </xf>
    <xf numFmtId="9" fontId="0" fillId="40" borderId="0" xfId="45" applyFont="1" applyFill="1"/>
    <xf numFmtId="43" fontId="0" fillId="40" borderId="24" xfId="43" applyFont="1" applyFill="1" applyBorder="1"/>
    <xf numFmtId="0" fontId="25" fillId="0" borderId="0" xfId="49" applyFont="1" applyFill="1"/>
    <xf numFmtId="2" fontId="25" fillId="0" borderId="0" xfId="49" applyNumberFormat="1" applyFont="1" applyFill="1"/>
    <xf numFmtId="1" fontId="25" fillId="0" borderId="0" xfId="49" applyNumberFormat="1" applyFont="1" applyFill="1"/>
    <xf numFmtId="0" fontId="7" fillId="0" borderId="24" xfId="0" applyFont="1" applyBorder="1" applyAlignment="1" applyProtection="1">
      <alignment horizontal="left" vertical="center" wrapText="1"/>
    </xf>
    <xf numFmtId="0" fontId="7" fillId="0" borderId="0" xfId="0" applyFont="1" applyBorder="1" applyAlignment="1" applyProtection="1">
      <alignment horizontal="left"/>
    </xf>
    <xf numFmtId="0" fontId="0" fillId="0" borderId="0" xfId="0" applyBorder="1" applyAlignment="1" applyProtection="1">
      <alignment horizontal="left"/>
    </xf>
    <xf numFmtId="0" fontId="7" fillId="0" borderId="0" xfId="0" applyFont="1" applyAlignment="1" applyProtection="1">
      <alignment horizontal="left" vertical="top" wrapText="1"/>
    </xf>
    <xf numFmtId="9" fontId="0" fillId="0" borderId="0" xfId="0" applyNumberFormat="1"/>
    <xf numFmtId="0" fontId="38" fillId="0" borderId="0" xfId="0" applyFont="1" applyBorder="1" applyAlignment="1" applyProtection="1">
      <alignment vertical="center"/>
    </xf>
    <xf numFmtId="0" fontId="55" fillId="0" borderId="33" xfId="0" quotePrefix="1" applyFont="1" applyBorder="1" applyAlignment="1" applyProtection="1">
      <alignment horizontal="right" vertical="center"/>
    </xf>
    <xf numFmtId="0" fontId="7" fillId="0" borderId="35" xfId="0" applyFont="1" applyBorder="1" applyAlignment="1" applyProtection="1">
      <alignment horizontal="left" vertical="top" wrapText="1"/>
    </xf>
    <xf numFmtId="0" fontId="0" fillId="0" borderId="36" xfId="0" applyBorder="1" applyProtection="1"/>
    <xf numFmtId="0" fontId="7" fillId="0" borderId="37" xfId="0" applyFont="1" applyBorder="1" applyAlignment="1" applyProtection="1">
      <alignment horizontal="left" vertical="top" wrapText="1"/>
    </xf>
    <xf numFmtId="0" fontId="0" fillId="0" borderId="36" xfId="0" applyBorder="1" applyAlignment="1" applyProtection="1">
      <alignment vertical="center"/>
    </xf>
    <xf numFmtId="0" fontId="7" fillId="0" borderId="37" xfId="0" applyFont="1" applyBorder="1" applyAlignment="1" applyProtection="1">
      <alignment horizontal="left" vertical="center" wrapText="1"/>
    </xf>
    <xf numFmtId="0" fontId="61" fillId="0" borderId="37" xfId="0" applyFont="1" applyBorder="1" applyAlignment="1" applyProtection="1">
      <alignment horizontal="left" vertical="center" wrapText="1"/>
    </xf>
    <xf numFmtId="0" fontId="0" fillId="0" borderId="38" xfId="0" applyBorder="1" applyAlignment="1" applyProtection="1">
      <alignment vertical="center"/>
    </xf>
    <xf numFmtId="0" fontId="7" fillId="0" borderId="39" xfId="0" applyFont="1" applyBorder="1" applyAlignment="1" applyProtection="1">
      <alignment horizontal="left" vertical="center" wrapText="1"/>
    </xf>
    <xf numFmtId="9" fontId="7" fillId="0" borderId="39" xfId="45" quotePrefix="1" applyFont="1" applyFill="1" applyBorder="1" applyAlignment="1" applyProtection="1">
      <alignment horizontal="right" vertical="center" wrapText="1"/>
    </xf>
    <xf numFmtId="0" fontId="7" fillId="0" borderId="40" xfId="0" applyFont="1" applyBorder="1" applyAlignment="1" applyProtection="1">
      <alignment horizontal="left" vertical="center" wrapText="1"/>
    </xf>
    <xf numFmtId="0" fontId="7" fillId="0" borderId="39" xfId="0" applyFont="1" applyBorder="1" applyAlignment="1" applyProtection="1">
      <alignment horizontal="right" vertical="center" wrapText="1"/>
    </xf>
    <xf numFmtId="0" fontId="26" fillId="0" borderId="40" xfId="0" applyFont="1" applyBorder="1" applyAlignment="1" applyProtection="1">
      <alignment horizontal="left" vertical="center" wrapText="1"/>
    </xf>
    <xf numFmtId="0" fontId="7" fillId="0" borderId="0" xfId="0" applyFont="1" applyBorder="1" applyAlignment="1" applyProtection="1">
      <alignment horizontal="left" vertical="top" wrapText="1"/>
    </xf>
    <xf numFmtId="0" fontId="7" fillId="0" borderId="12" xfId="0" applyFont="1" applyBorder="1" applyAlignment="1" applyProtection="1">
      <alignment horizontal="left" vertical="top" wrapText="1"/>
    </xf>
    <xf numFmtId="0" fontId="47" fillId="0" borderId="39" xfId="0" applyFont="1" applyBorder="1" applyAlignment="1" applyProtection="1">
      <alignment horizontal="center" vertical="center" wrapText="1"/>
    </xf>
    <xf numFmtId="0" fontId="29" fillId="0" borderId="0" xfId="0" applyFont="1" applyBorder="1" applyAlignment="1" applyProtection="1">
      <alignment horizontal="center" vertical="center"/>
    </xf>
    <xf numFmtId="9" fontId="68" fillId="39" borderId="24" xfId="47" applyFont="1" applyFill="1" applyBorder="1" applyAlignment="1">
      <alignment vertical="center"/>
    </xf>
    <xf numFmtId="0" fontId="8" fillId="0" borderId="15"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16" xfId="0" applyFont="1" applyBorder="1" applyAlignment="1" applyProtection="1">
      <alignment horizontal="center" vertical="center"/>
    </xf>
    <xf numFmtId="0" fontId="7" fillId="0" borderId="0" xfId="0" applyFont="1" applyAlignment="1" applyProtection="1">
      <alignment horizontal="left" vertical="top" wrapText="1"/>
    </xf>
    <xf numFmtId="0" fontId="7" fillId="0" borderId="24" xfId="0" applyFont="1" applyBorder="1" applyAlignment="1" applyProtection="1">
      <alignment horizontal="left" vertical="center" wrapText="1"/>
    </xf>
    <xf numFmtId="0" fontId="61" fillId="0" borderId="24" xfId="0" applyFont="1" applyBorder="1" applyAlignment="1" applyProtection="1">
      <alignment horizontal="left" vertical="center" wrapText="1"/>
    </xf>
    <xf numFmtId="0" fontId="47" fillId="0" borderId="24" xfId="0" applyFont="1" applyBorder="1" applyAlignment="1" applyProtection="1">
      <alignment horizontal="center" vertical="center" wrapText="1"/>
    </xf>
    <xf numFmtId="0" fontId="26" fillId="0" borderId="37" xfId="0" applyFont="1" applyBorder="1" applyAlignment="1" applyProtection="1">
      <alignment horizontal="left" vertical="center" wrapText="1"/>
    </xf>
    <xf numFmtId="164" fontId="7" fillId="47" borderId="39" xfId="0" applyNumberFormat="1" applyFont="1" applyFill="1" applyBorder="1" applyAlignment="1" applyProtection="1">
      <alignment horizontal="right" vertical="center" wrapText="1"/>
      <protection locked="0"/>
    </xf>
    <xf numFmtId="9" fontId="0" fillId="39" borderId="24" xfId="47" applyFont="1" applyFill="1" applyBorder="1" applyAlignment="1">
      <alignment vertical="center"/>
    </xf>
    <xf numFmtId="0" fontId="1" fillId="0" borderId="24" xfId="46" applyFont="1" applyBorder="1" applyAlignment="1">
      <alignment horizontal="left" vertical="center"/>
    </xf>
    <xf numFmtId="0" fontId="24" fillId="0" borderId="24" xfId="46" applyFont="1" applyBorder="1" applyAlignment="1">
      <alignment horizontal="center" wrapText="1"/>
    </xf>
    <xf numFmtId="0" fontId="24" fillId="0" borderId="25" xfId="46" applyFont="1" applyBorder="1" applyAlignment="1">
      <alignment horizontal="center" wrapText="1"/>
    </xf>
    <xf numFmtId="0" fontId="24" fillId="0" borderId="31" xfId="46" applyFont="1" applyBorder="1" applyAlignment="1">
      <alignment horizontal="center" wrapText="1"/>
    </xf>
    <xf numFmtId="0" fontId="15" fillId="3" borderId="25" xfId="7" applyBorder="1" applyAlignment="1">
      <alignment horizontal="center" wrapText="1"/>
    </xf>
    <xf numFmtId="0" fontId="15" fillId="3" borderId="31" xfId="7" applyBorder="1" applyAlignment="1">
      <alignment horizontal="center" wrapText="1"/>
    </xf>
    <xf numFmtId="0" fontId="15" fillId="3" borderId="26" xfId="7" applyBorder="1" applyAlignment="1">
      <alignment horizontal="center" wrapText="1"/>
    </xf>
    <xf numFmtId="0" fontId="24" fillId="0" borderId="26" xfId="46" applyFont="1" applyBorder="1" applyAlignment="1">
      <alignment horizontal="center" wrapText="1"/>
    </xf>
    <xf numFmtId="9" fontId="24" fillId="0" borderId="25" xfId="47" applyFont="1" applyBorder="1" applyAlignment="1">
      <alignment horizontal="center" vertical="center" wrapText="1"/>
    </xf>
    <xf numFmtId="9" fontId="24" fillId="0" borderId="26" xfId="47" applyFont="1" applyBorder="1" applyAlignment="1">
      <alignment horizontal="center" vertical="center" wrapText="1"/>
    </xf>
    <xf numFmtId="0" fontId="5" fillId="0" borderId="24" xfId="46" applyBorder="1" applyAlignment="1">
      <alignment horizontal="center" wrapText="1"/>
    </xf>
    <xf numFmtId="0" fontId="5" fillId="0" borderId="24" xfId="46" applyBorder="1" applyAlignment="1">
      <alignment horizontal="center"/>
    </xf>
    <xf numFmtId="14" fontId="5" fillId="0" borderId="0" xfId="46" applyNumberFormat="1" applyAlignment="1">
      <alignment horizontal="center"/>
    </xf>
    <xf numFmtId="0" fontId="5" fillId="0" borderId="25" xfId="46" applyBorder="1" applyAlignment="1">
      <alignment horizontal="center"/>
    </xf>
    <xf numFmtId="0" fontId="5" fillId="0" borderId="31" xfId="46" applyBorder="1" applyAlignment="1">
      <alignment horizontal="center"/>
    </xf>
    <xf numFmtId="0" fontId="5" fillId="0" borderId="26" xfId="46" applyBorder="1" applyAlignment="1">
      <alignment horizontal="center"/>
    </xf>
    <xf numFmtId="0" fontId="7" fillId="0" borderId="0" xfId="0" applyFont="1" applyAlignment="1">
      <alignment horizontal="left" wrapText="1"/>
    </xf>
    <xf numFmtId="0" fontId="8" fillId="0" borderId="0" xfId="0" applyFont="1" applyAlignment="1">
      <alignment horizontal="left" wrapText="1"/>
    </xf>
    <xf numFmtId="0" fontId="8" fillId="0" borderId="0" xfId="0" applyFont="1" applyAlignment="1">
      <alignment horizontal="left"/>
    </xf>
    <xf numFmtId="0" fontId="7" fillId="0" borderId="0" xfId="0" applyFont="1" applyAlignment="1">
      <alignment horizontal="left"/>
    </xf>
    <xf numFmtId="0" fontId="55" fillId="0" borderId="34" xfId="0" applyFont="1" applyBorder="1" applyAlignment="1" applyProtection="1">
      <alignment horizontal="left" vertical="top" wrapText="1"/>
    </xf>
    <xf numFmtId="0" fontId="29" fillId="0" borderId="27" xfId="0" applyFont="1" applyBorder="1" applyAlignment="1" applyProtection="1">
      <alignment horizontal="right"/>
    </xf>
    <xf numFmtId="0" fontId="9" fillId="0" borderId="28" xfId="0" applyFont="1" applyBorder="1" applyAlignment="1" applyProtection="1">
      <alignment horizontal="left" vertical="center" wrapText="1"/>
    </xf>
    <xf numFmtId="0" fontId="9" fillId="0" borderId="29" xfId="0" applyFont="1" applyBorder="1" applyAlignment="1" applyProtection="1">
      <alignment horizontal="left" vertical="center" wrapText="1"/>
    </xf>
    <xf numFmtId="0" fontId="9" fillId="34" borderId="30" xfId="0" quotePrefix="1" applyFont="1" applyFill="1" applyBorder="1" applyAlignment="1" applyProtection="1">
      <alignment horizontal="center" vertical="center"/>
      <protection locked="0"/>
    </xf>
    <xf numFmtId="0" fontId="9" fillId="34" borderId="30" xfId="0" applyFont="1" applyFill="1" applyBorder="1" applyAlignment="1" applyProtection="1">
      <alignment horizontal="center" vertical="center"/>
      <protection locked="0"/>
    </xf>
    <xf numFmtId="0" fontId="36" fillId="0" borderId="0" xfId="0" applyFont="1" applyBorder="1" applyAlignment="1" applyProtection="1">
      <alignment horizontal="left" vertical="center"/>
    </xf>
    <xf numFmtId="14" fontId="9" fillId="34" borderId="24" xfId="0" applyNumberFormat="1" applyFont="1" applyFill="1" applyBorder="1" applyAlignment="1" applyProtection="1">
      <alignment horizontal="center"/>
      <protection locked="0"/>
    </xf>
    <xf numFmtId="0" fontId="9" fillId="34" borderId="24" xfId="0" applyFont="1" applyFill="1" applyBorder="1" applyAlignment="1" applyProtection="1">
      <alignment horizontal="center"/>
      <protection locked="0"/>
    </xf>
    <xf numFmtId="0" fontId="7" fillId="0" borderId="24" xfId="0" applyFont="1" applyBorder="1" applyAlignment="1" applyProtection="1">
      <alignment horizontal="left" vertical="center" wrapText="1"/>
    </xf>
    <xf numFmtId="0" fontId="61" fillId="0" borderId="24" xfId="0" applyFont="1" applyBorder="1" applyAlignment="1" applyProtection="1">
      <alignment horizontal="left" vertical="center" wrapText="1"/>
    </xf>
    <xf numFmtId="0" fontId="7" fillId="0" borderId="39" xfId="0" applyFont="1" applyBorder="1" applyAlignment="1" applyProtection="1">
      <alignment horizontal="left" vertical="center"/>
    </xf>
    <xf numFmtId="0" fontId="7" fillId="0" borderId="24" xfId="0" applyFont="1" applyBorder="1" applyAlignment="1" applyProtection="1">
      <alignment horizontal="left" vertical="center"/>
    </xf>
    <xf numFmtId="0" fontId="48" fillId="0" borderId="0" xfId="44" applyFont="1" applyAlignment="1" applyProtection="1">
      <alignment horizontal="left"/>
    </xf>
    <xf numFmtId="49" fontId="7" fillId="0" borderId="0" xfId="0" applyNumberFormat="1" applyFont="1" applyBorder="1" applyAlignment="1" applyProtection="1">
      <alignment horizontal="right" vertical="top" wrapText="1"/>
    </xf>
    <xf numFmtId="0" fontId="7" fillId="0" borderId="0" xfId="0" applyFont="1" applyAlignment="1" applyProtection="1">
      <alignment horizontal="right"/>
    </xf>
    <xf numFmtId="0" fontId="7" fillId="0" borderId="0" xfId="0" applyFont="1" applyAlignment="1" applyProtection="1">
      <alignment horizontal="left" vertical="top" wrapText="1"/>
    </xf>
    <xf numFmtId="0" fontId="7" fillId="0" borderId="13" xfId="0" applyFont="1" applyBorder="1" applyAlignment="1" applyProtection="1">
      <alignment vertical="center"/>
    </xf>
    <xf numFmtId="0" fontId="7" fillId="0" borderId="10" xfId="0" applyFont="1" applyBorder="1" applyAlignment="1" applyProtection="1">
      <alignment vertical="center"/>
    </xf>
    <xf numFmtId="0" fontId="8" fillId="0" borderId="15"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16" xfId="0" applyFont="1" applyBorder="1" applyAlignment="1" applyProtection="1">
      <alignment horizontal="center" vertical="center"/>
    </xf>
    <xf numFmtId="0" fontId="31" fillId="0" borderId="15" xfId="0" applyFont="1" applyFill="1" applyBorder="1" applyAlignment="1" applyProtection="1">
      <alignment horizontal="center" vertical="center"/>
    </xf>
    <xf numFmtId="0" fontId="31" fillId="0" borderId="20" xfId="0" applyFont="1" applyFill="1" applyBorder="1" applyAlignment="1" applyProtection="1">
      <alignment horizontal="center" vertical="center"/>
    </xf>
    <xf numFmtId="0" fontId="31" fillId="0" borderId="16" xfId="0" applyFont="1" applyFill="1" applyBorder="1" applyAlignment="1" applyProtection="1">
      <alignment horizontal="center" vertical="center"/>
    </xf>
    <xf numFmtId="0" fontId="7" fillId="0" borderId="17" xfId="0" applyFont="1" applyFill="1" applyBorder="1" applyAlignment="1" applyProtection="1"/>
    <xf numFmtId="0" fontId="7" fillId="0" borderId="19" xfId="0" applyFont="1" applyFill="1" applyBorder="1" applyAlignment="1" applyProtection="1"/>
    <xf numFmtId="0" fontId="0" fillId="0" borderId="0" xfId="0" applyFill="1" applyBorder="1" applyAlignment="1" applyProtection="1">
      <alignment horizontal="left"/>
    </xf>
    <xf numFmtId="0" fontId="0" fillId="0" borderId="12" xfId="0" applyFill="1" applyBorder="1" applyAlignment="1" applyProtection="1">
      <alignment horizontal="left"/>
    </xf>
    <xf numFmtId="0" fontId="29" fillId="0" borderId="10" xfId="0" applyFont="1" applyBorder="1" applyAlignment="1">
      <alignment horizontal="center"/>
    </xf>
    <xf numFmtId="0" fontId="29" fillId="0" borderId="0" xfId="0" applyFont="1" applyBorder="1" applyAlignment="1">
      <alignment horizontal="center"/>
    </xf>
    <xf numFmtId="0" fontId="8" fillId="0" borderId="0" xfId="0" applyFont="1" applyBorder="1" applyAlignment="1" applyProtection="1">
      <alignment horizontal="center" vertical="center"/>
    </xf>
    <xf numFmtId="0" fontId="8" fillId="0" borderId="18" xfId="0" applyFont="1" applyBorder="1" applyAlignment="1" applyProtection="1">
      <alignment horizontal="center" vertical="center"/>
    </xf>
    <xf numFmtId="0" fontId="7" fillId="0" borderId="17" xfId="0" applyFont="1" applyBorder="1" applyAlignment="1" applyProtection="1">
      <alignment horizontal="left" vertical="center"/>
    </xf>
    <xf numFmtId="0" fontId="7" fillId="0" borderId="19" xfId="0" applyFont="1" applyBorder="1" applyAlignment="1" applyProtection="1">
      <alignment horizontal="left" vertical="center"/>
    </xf>
    <xf numFmtId="0" fontId="36" fillId="0" borderId="0" xfId="0" applyFont="1" applyBorder="1" applyAlignment="1" applyProtection="1">
      <alignment horizontal="center" vertical="center"/>
    </xf>
    <xf numFmtId="0" fontId="31" fillId="0" borderId="15" xfId="0" applyFont="1" applyBorder="1" applyAlignment="1" applyProtection="1">
      <alignment horizontal="center" vertical="center"/>
    </xf>
    <xf numFmtId="0" fontId="31" fillId="0" borderId="20" xfId="0" applyFont="1" applyBorder="1" applyAlignment="1" applyProtection="1">
      <alignment horizontal="center" vertical="center"/>
    </xf>
    <xf numFmtId="0" fontId="31" fillId="0" borderId="16" xfId="0" applyFont="1" applyBorder="1" applyAlignment="1" applyProtection="1">
      <alignment horizontal="center" vertical="center"/>
    </xf>
    <xf numFmtId="0" fontId="9" fillId="39" borderId="24" xfId="0" applyFont="1" applyFill="1" applyBorder="1" applyAlignment="1" applyProtection="1">
      <alignment horizontal="center"/>
    </xf>
    <xf numFmtId="167" fontId="9" fillId="39" borderId="24" xfId="0" applyNumberFormat="1" applyFont="1" applyFill="1" applyBorder="1" applyAlignment="1" applyProtection="1">
      <alignment horizontal="center"/>
    </xf>
    <xf numFmtId="0" fontId="7" fillId="0" borderId="0" xfId="0" applyFont="1" applyAlignment="1" applyProtection="1">
      <alignment horizontal="center"/>
    </xf>
    <xf numFmtId="0" fontId="0" fillId="0" borderId="0" xfId="0" applyAlignment="1" applyProtection="1">
      <alignment horizontal="center"/>
    </xf>
    <xf numFmtId="0" fontId="0" fillId="0" borderId="12" xfId="0" applyBorder="1" applyAlignment="1" applyProtection="1">
      <alignment horizontal="center"/>
    </xf>
    <xf numFmtId="0" fontId="9" fillId="0" borderId="25" xfId="0" applyFont="1" applyBorder="1" applyAlignment="1" applyProtection="1">
      <alignment horizontal="left"/>
    </xf>
    <xf numFmtId="0" fontId="9" fillId="0" borderId="26" xfId="0" applyFont="1" applyBorder="1" applyAlignment="1" applyProtection="1">
      <alignment horizontal="left"/>
    </xf>
    <xf numFmtId="0" fontId="31" fillId="0" borderId="24" xfId="0" applyFont="1" applyBorder="1" applyAlignment="1" applyProtection="1">
      <alignment horizontal="left" vertical="center"/>
    </xf>
    <xf numFmtId="0" fontId="47" fillId="0" borderId="24" xfId="0" applyNumberFormat="1" applyFont="1" applyBorder="1" applyAlignment="1" applyProtection="1">
      <alignment horizontal="left" vertical="top" wrapText="1"/>
    </xf>
    <xf numFmtId="0" fontId="7" fillId="0" borderId="17" xfId="0" applyFont="1" applyBorder="1" applyAlignment="1" applyProtection="1">
      <alignment vertical="center"/>
    </xf>
    <xf numFmtId="0" fontId="7" fillId="0" borderId="19" xfId="0" applyFont="1" applyBorder="1" applyAlignment="1" applyProtection="1">
      <alignment vertical="center"/>
    </xf>
    <xf numFmtId="0" fontId="7" fillId="0" borderId="0" xfId="0" applyFont="1" applyFill="1" applyBorder="1" applyAlignment="1" applyProtection="1">
      <alignment horizontal="left"/>
    </xf>
    <xf numFmtId="0" fontId="41" fillId="36" borderId="0" xfId="0" applyFont="1" applyFill="1" applyProtection="1">
      <protection locked="0"/>
    </xf>
    <xf numFmtId="0" fontId="7" fillId="0" borderId="0" xfId="0" applyFont="1" applyAlignment="1">
      <alignment horizontal="center"/>
    </xf>
    <xf numFmtId="0" fontId="43" fillId="37" borderId="0" xfId="0" applyFont="1" applyFill="1" applyBorder="1" applyAlignment="1">
      <alignment vertical="center"/>
    </xf>
    <xf numFmtId="0" fontId="43" fillId="37" borderId="0" xfId="0" applyFont="1" applyFill="1" applyBorder="1" applyAlignment="1">
      <alignment horizontal="left" vertical="center"/>
    </xf>
    <xf numFmtId="0" fontId="29" fillId="0" borderId="0" xfId="0" applyFont="1" applyBorder="1" applyAlignment="1" applyProtection="1">
      <alignment horizontal="right" vertical="center"/>
    </xf>
    <xf numFmtId="0" fontId="2" fillId="0" borderId="24" xfId="49" applyFont="1" applyBorder="1" applyAlignment="1">
      <alignment vertical="center"/>
    </xf>
    <xf numFmtId="0" fontId="4" fillId="0" borderId="24" xfId="49" applyBorder="1" applyAlignment="1">
      <alignment vertical="center"/>
    </xf>
    <xf numFmtId="0" fontId="70" fillId="0" borderId="24" xfId="49" applyFont="1" applyBorder="1" applyAlignment="1"/>
    <xf numFmtId="0" fontId="72" fillId="0" borderId="0" xfId="46" applyFont="1" applyAlignment="1">
      <alignment vertical="center" wrapText="1"/>
    </xf>
    <xf numFmtId="0" fontId="72" fillId="45" borderId="0" xfId="46" applyFont="1" applyFill="1" applyAlignment="1">
      <alignment horizontal="center" vertical="center" wrapText="1"/>
    </xf>
    <xf numFmtId="0" fontId="50" fillId="0" borderId="19" xfId="0" applyFont="1" applyBorder="1" applyAlignment="1" applyProtection="1">
      <alignment vertical="top" wrapText="1"/>
      <protection hidden="1"/>
    </xf>
    <xf numFmtId="0" fontId="54" fillId="0" borderId="19" xfId="0" applyFont="1" applyBorder="1" applyAlignment="1" applyProtection="1">
      <alignment vertical="top" wrapText="1"/>
      <protection hidden="1"/>
    </xf>
    <xf numFmtId="0" fontId="54" fillId="0" borderId="10" xfId="0" applyFont="1" applyBorder="1" applyAlignment="1" applyProtection="1">
      <alignment vertical="top" wrapText="1"/>
      <protection hidden="1"/>
    </xf>
    <xf numFmtId="0" fontId="54" fillId="0" borderId="19" xfId="0" applyFont="1" applyBorder="1" applyAlignment="1" applyProtection="1">
      <alignment horizontal="right" vertical="top" wrapText="1"/>
      <protection hidden="1"/>
    </xf>
    <xf numFmtId="0" fontId="54" fillId="0" borderId="10" xfId="0" applyFont="1" applyBorder="1" applyAlignment="1" applyProtection="1">
      <alignment horizontal="right" vertical="top" wrapText="1"/>
      <protection hidden="1"/>
    </xf>
    <xf numFmtId="0" fontId="57" fillId="0" borderId="0" xfId="0" applyFont="1" applyAlignment="1">
      <alignment horizontal="left" wrapText="1"/>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10" xfId="0" applyBorder="1" applyAlignment="1">
      <alignment horizontal="center" vertical="center"/>
    </xf>
    <xf numFmtId="0" fontId="7" fillId="0" borderId="0" xfId="0" applyFont="1" applyBorder="1" applyAlignment="1">
      <alignment horizontal="center" vertical="center"/>
    </xf>
  </cellXfs>
  <cellStyles count="50">
    <cellStyle name="20 % - Akzent1" xfId="18" builtinId="30" customBuiltin="1"/>
    <cellStyle name="20 % - Akzent2" xfId="22" builtinId="34" customBuiltin="1"/>
    <cellStyle name="20 % - Akzent3" xfId="26" builtinId="38" customBuiltin="1"/>
    <cellStyle name="20 % - Akzent4" xfId="30" builtinId="42" customBuiltin="1"/>
    <cellStyle name="20 % - Akzent5" xfId="34" builtinId="46" customBuiltin="1"/>
    <cellStyle name="20 % - Akzent6" xfId="38" builtinId="50" customBuiltin="1"/>
    <cellStyle name="40 % - Akzent1" xfId="19" builtinId="31" customBuiltin="1"/>
    <cellStyle name="40 % - Akzent2" xfId="23" builtinId="35" customBuiltin="1"/>
    <cellStyle name="40 % - Akzent3" xfId="27" builtinId="39" customBuiltin="1"/>
    <cellStyle name="40 % - Akzent4" xfId="31" builtinId="43" customBuiltin="1"/>
    <cellStyle name="40 % - Akzent5" xfId="35" builtinId="47" customBuiltin="1"/>
    <cellStyle name="40 % - Akzent6" xfId="39" builtinId="51" customBuiltin="1"/>
    <cellStyle name="60 % - Akzent1" xfId="20" builtinId="32" customBuiltin="1"/>
    <cellStyle name="60 % - Akzent2" xfId="24" builtinId="36" customBuiltin="1"/>
    <cellStyle name="60 % - Akzent3" xfId="28" builtinId="40" customBuiltin="1"/>
    <cellStyle name="60 % - Akzent4" xfId="32" builtinId="44" customBuiltin="1"/>
    <cellStyle name="60 % - Akzent5" xfId="36" builtinId="48" customBuiltin="1"/>
    <cellStyle name="60 % - Akzent6" xfId="40" builtinId="52" customBuiltin="1"/>
    <cellStyle name="Akzent1" xfId="17" builtinId="29" customBuiltin="1"/>
    <cellStyle name="Akzent2" xfId="21" builtinId="33" customBuiltin="1"/>
    <cellStyle name="Akzent3" xfId="25" builtinId="37" customBuiltin="1"/>
    <cellStyle name="Akzent4" xfId="29" builtinId="41" customBuiltin="1"/>
    <cellStyle name="Akzent5" xfId="33" builtinId="45" customBuiltin="1"/>
    <cellStyle name="Akzent6" xfId="37" builtinId="49" customBuiltin="1"/>
    <cellStyle name="Ausgabe" xfId="10" builtinId="21" customBuiltin="1"/>
    <cellStyle name="Berechnung" xfId="11" builtinId="22" customBuiltin="1"/>
    <cellStyle name="Eingabe" xfId="9" builtinId="20" customBuiltin="1"/>
    <cellStyle name="Ergebnis" xfId="16" builtinId="25" customBuiltin="1"/>
    <cellStyle name="Erklärender Text" xfId="15" builtinId="53" customBuiltin="1"/>
    <cellStyle name="Gut" xfId="6" builtinId="26" customBuiltin="1"/>
    <cellStyle name="Komma" xfId="43" builtinId="3"/>
    <cellStyle name="Komma 2" xfId="48"/>
    <cellStyle name="Link" xfId="44" builtinId="8"/>
    <cellStyle name="Neutral" xfId="8" builtinId="28" customBuiltin="1"/>
    <cellStyle name="Notiz 2" xfId="42"/>
    <cellStyle name="Prozent" xfId="45" builtinId="5"/>
    <cellStyle name="Prozent 2" xfId="47"/>
    <cellStyle name="Schlecht" xfId="7" builtinId="27" customBuiltin="1"/>
    <cellStyle name="Standard" xfId="0" builtinId="0"/>
    <cellStyle name="Standard 2" xfId="41"/>
    <cellStyle name="Standard 3" xfId="46"/>
    <cellStyle name="Standard 4" xfId="49"/>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3">
    <dxf>
      <fill>
        <patternFill>
          <bgColor rgb="FFFF0000"/>
        </patternFill>
      </fill>
    </dxf>
    <dxf>
      <font>
        <color rgb="FF006100"/>
      </font>
      <fill>
        <patternFill>
          <bgColor rgb="FFC6EFCE"/>
        </patternFill>
      </fill>
    </dxf>
    <dxf>
      <font>
        <color rgb="FF9C6500"/>
      </font>
      <fill>
        <patternFill>
          <bgColor rgb="FFFFFF00"/>
        </patternFill>
      </fill>
    </dxf>
  </dxfs>
  <tableStyles count="0" defaultTableStyle="TableStyleMedium9" defaultPivotStyle="PivotStyleLight16"/>
  <colors>
    <mruColors>
      <color rgb="FFFFFFFF"/>
      <color rgb="FFFF3300"/>
      <color rgb="FFFFFF99"/>
      <color rgb="FF0000FF"/>
      <color rgb="FFFFCC0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Berechnungen!$F$115</c:f>
          <c:strCache>
            <c:ptCount val="1"/>
            <c:pt idx="0">
              <c:v>SALINO® 250 Pressure Center _x000b_criterias HP IN</c:v>
            </c:pt>
          </c:strCache>
        </c:strRef>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9247594050743664E-2"/>
          <c:y val="0.64229095074455911"/>
          <c:w val="0.86486351706036746"/>
          <c:h val="2.6329337698767035E-2"/>
        </c:manualLayout>
      </c:layout>
      <c:scatterChart>
        <c:scatterStyle val="smoothMarker"/>
        <c:varyColors val="0"/>
        <c:ser>
          <c:idx val="0"/>
          <c:order val="0"/>
          <c:tx>
            <c:strRef>
              <c:f>Berechnungen!$H$80</c:f>
              <c:strCache>
                <c:ptCount val="1"/>
                <c:pt idx="0">
                  <c:v>pump flow (5:1 m³/hr per unit)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Berechnungen!$I$80:$O$80</c:f>
              <c:numCache>
                <c:formatCode>General</c:formatCode>
                <c:ptCount val="7"/>
                <c:pt idx="0">
                  <c:v>40.5</c:v>
                </c:pt>
                <c:pt idx="1">
                  <c:v>53.4375</c:v>
                </c:pt>
                <c:pt idx="2">
                  <c:v>66.375</c:v>
                </c:pt>
                <c:pt idx="3">
                  <c:v>79.3125</c:v>
                </c:pt>
                <c:pt idx="4">
                  <c:v>92.25</c:v>
                </c:pt>
                <c:pt idx="5">
                  <c:v>105.18750000000003</c:v>
                </c:pt>
                <c:pt idx="6">
                  <c:v>118.125</c:v>
                </c:pt>
              </c:numCache>
            </c:numRef>
          </c:yVal>
          <c:smooth val="1"/>
          <c:extLst>
            <c:ext xmlns:c16="http://schemas.microsoft.com/office/drawing/2014/chart" uri="{C3380CC4-5D6E-409C-BE32-E72D297353CC}">
              <c16:uniqueId val="{00000000-414D-47D2-87EF-DD7BD8DB5F78}"/>
            </c:ext>
          </c:extLst>
        </c:ser>
        <c:ser>
          <c:idx val="1"/>
          <c:order val="1"/>
          <c:tx>
            <c:strRef>
              <c:f>Berechnungen!$H$81</c:f>
              <c:strCache>
                <c:ptCount val="1"/>
                <c:pt idx="0">
                  <c:v>pressure range standard application (bar)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Berechnungen!$I$81:$O$81</c:f>
              <c:numCache>
                <c:formatCode>0.0</c:formatCode>
                <c:ptCount val="7"/>
                <c:pt idx="0">
                  <c:v>80</c:v>
                </c:pt>
                <c:pt idx="1">
                  <c:v>80</c:v>
                </c:pt>
                <c:pt idx="2">
                  <c:v>80</c:v>
                </c:pt>
                <c:pt idx="3">
                  <c:v>80</c:v>
                </c:pt>
                <c:pt idx="4">
                  <c:v>80</c:v>
                </c:pt>
                <c:pt idx="5">
                  <c:v>80</c:v>
                </c:pt>
                <c:pt idx="6">
                  <c:v>80</c:v>
                </c:pt>
              </c:numCache>
            </c:numRef>
          </c:yVal>
          <c:smooth val="1"/>
          <c:extLst>
            <c:ext xmlns:c16="http://schemas.microsoft.com/office/drawing/2014/chart" uri="{C3380CC4-5D6E-409C-BE32-E72D297353CC}">
              <c16:uniqueId val="{00000001-414D-47D2-87EF-DD7BD8DB5F78}"/>
            </c:ext>
          </c:extLst>
        </c:ser>
        <c:ser>
          <c:idx val="2"/>
          <c:order val="2"/>
          <c:tx>
            <c:strRef>
              <c:f>Berechnungen!$H$82</c:f>
              <c:strCache>
                <c:ptCount val="1"/>
                <c:pt idx="0">
                  <c:v>pressure range to be confirmed individual (bar)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Berechnungen!$I$82:$O$82</c:f>
              <c:numCache>
                <c:formatCode>0.0</c:formatCode>
                <c:ptCount val="7"/>
                <c:pt idx="0">
                  <c:v>120</c:v>
                </c:pt>
                <c:pt idx="1">
                  <c:v>120</c:v>
                </c:pt>
                <c:pt idx="2">
                  <c:v>120</c:v>
                </c:pt>
                <c:pt idx="3">
                  <c:v>120</c:v>
                </c:pt>
                <c:pt idx="4">
                  <c:v>120</c:v>
                </c:pt>
                <c:pt idx="5">
                  <c:v>120</c:v>
                </c:pt>
                <c:pt idx="6">
                  <c:v>120</c:v>
                </c:pt>
              </c:numCache>
            </c:numRef>
          </c:yVal>
          <c:smooth val="1"/>
          <c:extLst>
            <c:ext xmlns:c16="http://schemas.microsoft.com/office/drawing/2014/chart" uri="{C3380CC4-5D6E-409C-BE32-E72D297353CC}">
              <c16:uniqueId val="{00000002-414D-47D2-87EF-DD7BD8DB5F78}"/>
            </c:ext>
          </c:extLst>
        </c:ser>
        <c:dLbls>
          <c:showLegendKey val="0"/>
          <c:showVal val="0"/>
          <c:showCatName val="0"/>
          <c:showSerName val="0"/>
          <c:showPercent val="0"/>
          <c:showBubbleSize val="0"/>
        </c:dLbls>
        <c:axId val="183724672"/>
        <c:axId val="183743232"/>
      </c:scatterChart>
      <c:valAx>
        <c:axId val="183724672"/>
        <c:scaling>
          <c:orientation val="minMax"/>
          <c:max val="1600"/>
          <c:min val="500"/>
        </c:scaling>
        <c:delete val="1"/>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crossAx val="183743232"/>
        <c:crosses val="autoZero"/>
        <c:crossBetween val="midCat"/>
        <c:majorUnit val="100"/>
        <c:minorUnit val="50"/>
      </c:valAx>
      <c:valAx>
        <c:axId val="183743232"/>
        <c:scaling>
          <c:orientation val="minMax"/>
          <c:max val="140"/>
          <c:min val="0"/>
        </c:scaling>
        <c:delete val="1"/>
        <c:axPos val="l"/>
        <c:numFmt formatCode="General" sourceLinked="1"/>
        <c:majorTickMark val="none"/>
        <c:minorTickMark val="none"/>
        <c:tickLblPos val="nextTo"/>
        <c:crossAx val="183724672"/>
        <c:crosses val="autoZero"/>
        <c:crossBetween val="midCat"/>
        <c:majorUnit val="20"/>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Berechnungen!$F$133</c:f>
          <c:strCache>
            <c:ptCount val="1"/>
            <c:pt idx="0">
              <c:v>SALINO® 250 Pressure Center _x000b_criterias LP Out</c:v>
            </c:pt>
          </c:strCache>
        </c:strRef>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9247594050743664E-2"/>
          <c:y val="0.64229095074455911"/>
          <c:w val="0.86486351706036746"/>
          <c:h val="2.6329337698767035E-2"/>
        </c:manualLayout>
      </c:layout>
      <c:scatterChart>
        <c:scatterStyle val="smoothMarker"/>
        <c:varyColors val="0"/>
        <c:ser>
          <c:idx val="0"/>
          <c:order val="0"/>
          <c:tx>
            <c:strRef>
              <c:f>Berechnungen!$H$80</c:f>
              <c:strCache>
                <c:ptCount val="1"/>
                <c:pt idx="0">
                  <c:v>pump flow (5:1 m³/hr per unit)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Berechnungen!$I$80:$O$80</c:f>
              <c:numCache>
                <c:formatCode>General</c:formatCode>
                <c:ptCount val="7"/>
                <c:pt idx="0">
                  <c:v>40.5</c:v>
                </c:pt>
                <c:pt idx="1">
                  <c:v>53.4375</c:v>
                </c:pt>
                <c:pt idx="2">
                  <c:v>66.375</c:v>
                </c:pt>
                <c:pt idx="3">
                  <c:v>79.3125</c:v>
                </c:pt>
                <c:pt idx="4">
                  <c:v>92.25</c:v>
                </c:pt>
                <c:pt idx="5">
                  <c:v>105.18750000000003</c:v>
                </c:pt>
                <c:pt idx="6">
                  <c:v>118.125</c:v>
                </c:pt>
              </c:numCache>
            </c:numRef>
          </c:yVal>
          <c:smooth val="1"/>
          <c:extLst>
            <c:ext xmlns:c16="http://schemas.microsoft.com/office/drawing/2014/chart" uri="{C3380CC4-5D6E-409C-BE32-E72D297353CC}">
              <c16:uniqueId val="{00000000-726D-4B79-AEFC-449FD7279C3F}"/>
            </c:ext>
          </c:extLst>
        </c:ser>
        <c:ser>
          <c:idx val="1"/>
          <c:order val="1"/>
          <c:tx>
            <c:strRef>
              <c:f>Berechnungen!$H$81</c:f>
              <c:strCache>
                <c:ptCount val="1"/>
                <c:pt idx="0">
                  <c:v>pressure range standard application (bar)</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Berechnungen!$I$81:$O$81</c:f>
              <c:numCache>
                <c:formatCode>0.0</c:formatCode>
                <c:ptCount val="7"/>
                <c:pt idx="0">
                  <c:v>80</c:v>
                </c:pt>
                <c:pt idx="1">
                  <c:v>80</c:v>
                </c:pt>
                <c:pt idx="2">
                  <c:v>80</c:v>
                </c:pt>
                <c:pt idx="3">
                  <c:v>80</c:v>
                </c:pt>
                <c:pt idx="4">
                  <c:v>80</c:v>
                </c:pt>
                <c:pt idx="5">
                  <c:v>80</c:v>
                </c:pt>
                <c:pt idx="6">
                  <c:v>80</c:v>
                </c:pt>
              </c:numCache>
            </c:numRef>
          </c:yVal>
          <c:smooth val="1"/>
          <c:extLst>
            <c:ext xmlns:c16="http://schemas.microsoft.com/office/drawing/2014/chart" uri="{C3380CC4-5D6E-409C-BE32-E72D297353CC}">
              <c16:uniqueId val="{00000001-726D-4B79-AEFC-449FD7279C3F}"/>
            </c:ext>
          </c:extLst>
        </c:ser>
        <c:ser>
          <c:idx val="2"/>
          <c:order val="2"/>
          <c:tx>
            <c:strRef>
              <c:f>Berechnungen!$H$82</c:f>
              <c:strCache>
                <c:ptCount val="1"/>
                <c:pt idx="0">
                  <c:v>pressure range to be confirmed individual (bar)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Berechnungen!$I$82:$O$82</c:f>
              <c:numCache>
                <c:formatCode>0.0</c:formatCode>
                <c:ptCount val="7"/>
                <c:pt idx="0">
                  <c:v>120</c:v>
                </c:pt>
                <c:pt idx="1">
                  <c:v>120</c:v>
                </c:pt>
                <c:pt idx="2">
                  <c:v>120</c:v>
                </c:pt>
                <c:pt idx="3">
                  <c:v>120</c:v>
                </c:pt>
                <c:pt idx="4">
                  <c:v>120</c:v>
                </c:pt>
                <c:pt idx="5">
                  <c:v>120</c:v>
                </c:pt>
                <c:pt idx="6">
                  <c:v>120</c:v>
                </c:pt>
              </c:numCache>
            </c:numRef>
          </c:yVal>
          <c:smooth val="1"/>
          <c:extLst>
            <c:ext xmlns:c16="http://schemas.microsoft.com/office/drawing/2014/chart" uri="{C3380CC4-5D6E-409C-BE32-E72D297353CC}">
              <c16:uniqueId val="{00000002-726D-4B79-AEFC-449FD7279C3F}"/>
            </c:ext>
          </c:extLst>
        </c:ser>
        <c:dLbls>
          <c:showLegendKey val="0"/>
          <c:showVal val="0"/>
          <c:showCatName val="0"/>
          <c:showSerName val="0"/>
          <c:showPercent val="0"/>
          <c:showBubbleSize val="0"/>
        </c:dLbls>
        <c:axId val="184053760"/>
        <c:axId val="184055680"/>
      </c:scatterChart>
      <c:valAx>
        <c:axId val="184053760"/>
        <c:scaling>
          <c:orientation val="minMax"/>
          <c:max val="1600"/>
          <c:min val="500"/>
        </c:scaling>
        <c:delete val="1"/>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crossAx val="184055680"/>
        <c:crosses val="autoZero"/>
        <c:crossBetween val="midCat"/>
        <c:majorUnit val="100"/>
        <c:minorUnit val="50"/>
      </c:valAx>
      <c:valAx>
        <c:axId val="184055680"/>
        <c:scaling>
          <c:orientation val="minMax"/>
          <c:max val="140"/>
          <c:min val="0"/>
        </c:scaling>
        <c:delete val="1"/>
        <c:axPos val="l"/>
        <c:numFmt formatCode="General" sourceLinked="1"/>
        <c:majorTickMark val="none"/>
        <c:minorTickMark val="none"/>
        <c:tickLblPos val="nextTo"/>
        <c:crossAx val="184053760"/>
        <c:crosses val="autoZero"/>
        <c:crossBetween val="midCat"/>
        <c:majorUnit val="20"/>
      </c:valAx>
      <c:spPr>
        <a:noFill/>
        <a:ln w="254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Berechnungen!$F$65</c:f>
          <c:strCache>
            <c:ptCount val="1"/>
            <c:pt idx="0">
              <c:v>SALINO® 250 Pressure Center _x000b_pressure limits Feed side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0"/>
          <c:order val="0"/>
          <c:tx>
            <c:strRef>
              <c:f>Berechnungen!$H$54</c:f>
              <c:strCache>
                <c:ptCount val="1"/>
                <c:pt idx="0">
                  <c:v>min. pressure (bar); switch off (Kidney)</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Berechnungen!$I$53:$O$53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Berechnungen!$I$54:$O$54</c:f>
              <c:numCache>
                <c:formatCode>General</c:formatCode>
                <c:ptCount val="7"/>
                <c:pt idx="0">
                  <c:v>3</c:v>
                </c:pt>
                <c:pt idx="1">
                  <c:v>3</c:v>
                </c:pt>
                <c:pt idx="2">
                  <c:v>3</c:v>
                </c:pt>
                <c:pt idx="3">
                  <c:v>3</c:v>
                </c:pt>
                <c:pt idx="4">
                  <c:v>3</c:v>
                </c:pt>
                <c:pt idx="5">
                  <c:v>3</c:v>
                </c:pt>
                <c:pt idx="6">
                  <c:v>3</c:v>
                </c:pt>
              </c:numCache>
            </c:numRef>
          </c:yVal>
          <c:smooth val="1"/>
          <c:extLst>
            <c:ext xmlns:c16="http://schemas.microsoft.com/office/drawing/2014/chart" uri="{C3380CC4-5D6E-409C-BE32-E72D297353CC}">
              <c16:uniqueId val="{00000000-A6DF-4E37-A1EB-02CDDDCB877C}"/>
            </c:ext>
          </c:extLst>
        </c:ser>
        <c:ser>
          <c:idx val="1"/>
          <c:order val="1"/>
          <c:tx>
            <c:strRef>
              <c:f>Berechnungen!$H$55</c:f>
              <c:strCache>
                <c:ptCount val="1"/>
                <c:pt idx="0">
                  <c:v>warning pressure (bar); alarm (Kidney)</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Berechnungen!$I$53:$O$53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Berechnungen!$I$55:$O$55</c:f>
              <c:numCache>
                <c:formatCode>General</c:formatCode>
                <c:ptCount val="7"/>
                <c:pt idx="0">
                  <c:v>3.3000000000000003</c:v>
                </c:pt>
                <c:pt idx="1">
                  <c:v>3.3000000000000003</c:v>
                </c:pt>
                <c:pt idx="2">
                  <c:v>3.3000000000000003</c:v>
                </c:pt>
                <c:pt idx="3">
                  <c:v>3.3000000000000003</c:v>
                </c:pt>
                <c:pt idx="4">
                  <c:v>3.3000000000000003</c:v>
                </c:pt>
                <c:pt idx="5">
                  <c:v>3.3000000000000003</c:v>
                </c:pt>
                <c:pt idx="6">
                  <c:v>3.3000000000000003</c:v>
                </c:pt>
              </c:numCache>
            </c:numRef>
          </c:yVal>
          <c:smooth val="1"/>
          <c:extLst>
            <c:ext xmlns:c16="http://schemas.microsoft.com/office/drawing/2014/chart" uri="{C3380CC4-5D6E-409C-BE32-E72D297353CC}">
              <c16:uniqueId val="{00000001-A6DF-4E37-A1EB-02CDDDCB877C}"/>
            </c:ext>
          </c:extLst>
        </c:ser>
        <c:ser>
          <c:idx val="2"/>
          <c:order val="2"/>
          <c:tx>
            <c:strRef>
              <c:f>Berechnungen!$H$56</c:f>
              <c:strCache>
                <c:ptCount val="1"/>
                <c:pt idx="0">
                  <c:v>Minimum feed pressure (bar)</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Berechnungen!$I$53:$O$53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Berechnungen!$I$56:$O$56</c:f>
              <c:numCache>
                <c:formatCode>0.0</c:formatCode>
                <c:ptCount val="7"/>
                <c:pt idx="0">
                  <c:v>3.45</c:v>
                </c:pt>
                <c:pt idx="1">
                  <c:v>3.5611400462962965</c:v>
                </c:pt>
                <c:pt idx="2">
                  <c:v>3.7028935185185188</c:v>
                </c:pt>
                <c:pt idx="3">
                  <c:v>3.8752604166666669</c:v>
                </c:pt>
                <c:pt idx="4">
                  <c:v>4.0782407407407408</c:v>
                </c:pt>
                <c:pt idx="5">
                  <c:v>4.3118344907407415</c:v>
                </c:pt>
                <c:pt idx="6">
                  <c:v>4.5760416666666668</c:v>
                </c:pt>
              </c:numCache>
            </c:numRef>
          </c:yVal>
          <c:smooth val="1"/>
          <c:extLst>
            <c:ext xmlns:c16="http://schemas.microsoft.com/office/drawing/2014/chart" uri="{C3380CC4-5D6E-409C-BE32-E72D297353CC}">
              <c16:uniqueId val="{00000002-A6DF-4E37-A1EB-02CDDDCB877C}"/>
            </c:ext>
          </c:extLst>
        </c:ser>
        <c:dLbls>
          <c:showLegendKey val="0"/>
          <c:showVal val="0"/>
          <c:showCatName val="0"/>
          <c:showSerName val="0"/>
          <c:showPercent val="0"/>
          <c:showBubbleSize val="0"/>
        </c:dLbls>
        <c:axId val="184185984"/>
        <c:axId val="184187904"/>
      </c:scatterChart>
      <c:valAx>
        <c:axId val="184185984"/>
        <c:scaling>
          <c:orientation val="minMax"/>
          <c:min val="500"/>
        </c:scaling>
        <c:delete val="0"/>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4187904"/>
        <c:crosses val="autoZero"/>
        <c:crossBetween val="midCat"/>
        <c:majorUnit val="100"/>
        <c:minorUnit val="50"/>
      </c:valAx>
      <c:valAx>
        <c:axId val="184187904"/>
        <c:scaling>
          <c:orientation val="minMax"/>
          <c:min val="1.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4185984"/>
        <c:crosses val="autoZero"/>
        <c:crossBetween val="midCat"/>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Berechnungen!$F$92</c:f>
          <c:strCache>
            <c:ptCount val="1"/>
            <c:pt idx="0">
              <c:v>SALINO® 250 Pressure Center _x000b_performance range HP OUT </c:v>
            </c:pt>
          </c:strCache>
        </c:strRef>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0"/>
          <c:order val="0"/>
          <c:tx>
            <c:strRef>
              <c:f>Berechnungen!$H$80</c:f>
              <c:strCache>
                <c:ptCount val="1"/>
                <c:pt idx="0">
                  <c:v>pump flow (5:1 m³/hr per unit)</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Berechnungen!$I$80:$O$80</c:f>
              <c:numCache>
                <c:formatCode>General</c:formatCode>
                <c:ptCount val="7"/>
                <c:pt idx="0">
                  <c:v>40.5</c:v>
                </c:pt>
                <c:pt idx="1">
                  <c:v>53.4375</c:v>
                </c:pt>
                <c:pt idx="2">
                  <c:v>66.375</c:v>
                </c:pt>
                <c:pt idx="3">
                  <c:v>79.3125</c:v>
                </c:pt>
                <c:pt idx="4">
                  <c:v>92.25</c:v>
                </c:pt>
                <c:pt idx="5">
                  <c:v>105.18750000000003</c:v>
                </c:pt>
                <c:pt idx="6">
                  <c:v>118.125</c:v>
                </c:pt>
              </c:numCache>
            </c:numRef>
          </c:yVal>
          <c:smooth val="1"/>
          <c:extLst>
            <c:ext xmlns:c16="http://schemas.microsoft.com/office/drawing/2014/chart" uri="{C3380CC4-5D6E-409C-BE32-E72D297353CC}">
              <c16:uniqueId val="{00000000-85EA-41D8-BD2A-BCAC8448841C}"/>
            </c:ext>
          </c:extLst>
        </c:ser>
        <c:ser>
          <c:idx val="3"/>
          <c:order val="1"/>
          <c:tx>
            <c:strRef>
              <c:f>Berechnungen!$H$84</c:f>
              <c:strCache>
                <c:ptCount val="1"/>
                <c:pt idx="0">
                  <c:v>RR 35% @ 55 bar shaft-power demand [5:1 KW per unit]</c:v>
                </c:pt>
              </c:strCache>
            </c:strRef>
          </c:tx>
          <c:spPr>
            <a:ln w="19050" cap="sq">
              <a:solidFill>
                <a:srgbClr val="FF0000"/>
              </a:solidFill>
              <a:prstDash val="dash"/>
              <a:miter lim="800000"/>
            </a:ln>
            <a:effectLst/>
          </c:spPr>
          <c:marker>
            <c:symbol val="star"/>
            <c:size val="8"/>
            <c:spPr>
              <a:noFill/>
              <a:ln w="9525">
                <a:solidFill>
                  <a:srgbClr val="FF0000"/>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Berechnungen!$I$84:$O$84</c:f>
              <c:numCache>
                <c:formatCode>_(* #,##0.00_);_(* \(#,##0.00\);_(* "-"??_);_(@_)</c:formatCode>
                <c:ptCount val="7"/>
                <c:pt idx="0">
                  <c:v>30.693172546101074</c:v>
                </c:pt>
                <c:pt idx="1">
                  <c:v>40.497935998327812</c:v>
                </c:pt>
                <c:pt idx="2">
                  <c:v>50.302699450554542</c:v>
                </c:pt>
                <c:pt idx="3">
                  <c:v>60.107462902781272</c:v>
                </c:pt>
                <c:pt idx="4">
                  <c:v>69.912226355008016</c:v>
                </c:pt>
                <c:pt idx="5">
                  <c:v>79.716989807234754</c:v>
                </c:pt>
                <c:pt idx="6">
                  <c:v>89.521753259461462</c:v>
                </c:pt>
              </c:numCache>
            </c:numRef>
          </c:yVal>
          <c:smooth val="1"/>
          <c:extLst>
            <c:ext xmlns:c16="http://schemas.microsoft.com/office/drawing/2014/chart" uri="{C3380CC4-5D6E-409C-BE32-E72D297353CC}">
              <c16:uniqueId val="{00000001-85EA-41D8-BD2A-BCAC8448841C}"/>
            </c:ext>
          </c:extLst>
        </c:ser>
        <c:ser>
          <c:idx val="1"/>
          <c:order val="2"/>
          <c:tx>
            <c:strRef>
              <c:f>Berechnungen!$H$81</c:f>
              <c:strCache>
                <c:ptCount val="1"/>
                <c:pt idx="0">
                  <c:v>pressure range standard application (bar)</c:v>
                </c:pt>
              </c:strCache>
            </c:strRef>
          </c:tx>
          <c:spPr>
            <a:ln w="19050" cap="rnd">
              <a:solidFill>
                <a:srgbClr val="92D050"/>
              </a:solidFill>
              <a:round/>
            </a:ln>
            <a:effectLst/>
          </c:spPr>
          <c:marker>
            <c:symbol val="circle"/>
            <c:size val="5"/>
            <c:spPr>
              <a:solidFill>
                <a:srgbClr val="92D050"/>
              </a:solidFill>
              <a:ln w="9525">
                <a:solidFill>
                  <a:srgbClr val="92D050"/>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Berechnungen!$I$81:$O$81</c:f>
              <c:numCache>
                <c:formatCode>0.0</c:formatCode>
                <c:ptCount val="7"/>
                <c:pt idx="0">
                  <c:v>80</c:v>
                </c:pt>
                <c:pt idx="1">
                  <c:v>80</c:v>
                </c:pt>
                <c:pt idx="2">
                  <c:v>80</c:v>
                </c:pt>
                <c:pt idx="3">
                  <c:v>80</c:v>
                </c:pt>
                <c:pt idx="4">
                  <c:v>80</c:v>
                </c:pt>
                <c:pt idx="5">
                  <c:v>80</c:v>
                </c:pt>
                <c:pt idx="6">
                  <c:v>80</c:v>
                </c:pt>
              </c:numCache>
            </c:numRef>
          </c:yVal>
          <c:smooth val="1"/>
          <c:extLst>
            <c:ext xmlns:c16="http://schemas.microsoft.com/office/drawing/2014/chart" uri="{C3380CC4-5D6E-409C-BE32-E72D297353CC}">
              <c16:uniqueId val="{00000002-85EA-41D8-BD2A-BCAC8448841C}"/>
            </c:ext>
          </c:extLst>
        </c:ser>
        <c:ser>
          <c:idx val="2"/>
          <c:order val="3"/>
          <c:tx>
            <c:strRef>
              <c:f>Berechnungen!$H$82</c:f>
              <c:strCache>
                <c:ptCount val="1"/>
                <c:pt idx="0">
                  <c:v>pressure range to be confirmed individual (bar)</c:v>
                </c:pt>
              </c:strCache>
            </c:strRef>
          </c:tx>
          <c:spPr>
            <a:ln w="19050" cap="rnd">
              <a:solidFill>
                <a:srgbClr val="FFC000"/>
              </a:solidFill>
              <a:round/>
            </a:ln>
            <a:effectLst/>
          </c:spPr>
          <c:marker>
            <c:symbol val="circle"/>
            <c:size val="5"/>
            <c:spPr>
              <a:solidFill>
                <a:schemeClr val="accent6"/>
              </a:solidFill>
              <a:ln w="9525">
                <a:solidFill>
                  <a:srgbClr val="FFC000"/>
                </a:solidFill>
              </a:ln>
              <a:effectLst/>
            </c:spPr>
          </c:marker>
          <c:xVal>
            <c:numRef>
              <c:f>Berechnungen!$I$79:$O$79</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Berechnungen!$I$82:$O$82</c:f>
              <c:numCache>
                <c:formatCode>0.0</c:formatCode>
                <c:ptCount val="7"/>
                <c:pt idx="0">
                  <c:v>120</c:v>
                </c:pt>
                <c:pt idx="1">
                  <c:v>120</c:v>
                </c:pt>
                <c:pt idx="2">
                  <c:v>120</c:v>
                </c:pt>
                <c:pt idx="3">
                  <c:v>120</c:v>
                </c:pt>
                <c:pt idx="4">
                  <c:v>120</c:v>
                </c:pt>
                <c:pt idx="5">
                  <c:v>120</c:v>
                </c:pt>
                <c:pt idx="6">
                  <c:v>120</c:v>
                </c:pt>
              </c:numCache>
            </c:numRef>
          </c:yVal>
          <c:smooth val="1"/>
          <c:extLst>
            <c:ext xmlns:c16="http://schemas.microsoft.com/office/drawing/2014/chart" uri="{C3380CC4-5D6E-409C-BE32-E72D297353CC}">
              <c16:uniqueId val="{00000003-85EA-41D8-BD2A-BCAC8448841C}"/>
            </c:ext>
          </c:extLst>
        </c:ser>
        <c:ser>
          <c:idx val="4"/>
          <c:order val="4"/>
          <c:tx>
            <c:strRef>
              <c:f>Berechnungen!$H$83</c:f>
              <c:strCache>
                <c:ptCount val="1"/>
                <c:pt idx="0">
                  <c:v>design caseSALINO® 250 RR 35% @ 55 bar [5:1 KW per unit]</c:v>
                </c:pt>
              </c:strCache>
            </c:strRef>
          </c:tx>
          <c:spPr>
            <a:ln w="19050" cap="rnd">
              <a:solidFill>
                <a:schemeClr val="accent5"/>
              </a:solidFill>
              <a:round/>
            </a:ln>
            <a:effectLst/>
          </c:spPr>
          <c:marker>
            <c:symbol val="diamond"/>
            <c:size val="12"/>
            <c:spPr>
              <a:solidFill>
                <a:srgbClr val="00B0F0"/>
              </a:solidFill>
              <a:ln w="9525">
                <a:solidFill>
                  <a:schemeClr val="accent5"/>
                </a:solidFill>
              </a:ln>
              <a:effectLst/>
            </c:spPr>
          </c:marker>
          <c:xVal>
            <c:numRef>
              <c:f>Berechnungen!$P$79</c:f>
              <c:numCache>
                <c:formatCode>0</c:formatCode>
                <c:ptCount val="1"/>
                <c:pt idx="0">
                  <c:v>1142.8571428571433</c:v>
                </c:pt>
              </c:numCache>
            </c:numRef>
          </c:xVal>
          <c:yVal>
            <c:numRef>
              <c:f>Berechnungen!$P$83</c:f>
              <c:numCache>
                <c:formatCode>_(* #,##0.00_);_(* \(#,##0.00\);_(* "-"??_);_(@_)</c:formatCode>
                <c:ptCount val="1"/>
                <c:pt idx="0">
                  <c:v>58.463185802097314</c:v>
                </c:pt>
              </c:numCache>
            </c:numRef>
          </c:yVal>
          <c:smooth val="1"/>
          <c:extLst>
            <c:ext xmlns:c16="http://schemas.microsoft.com/office/drawing/2014/chart" uri="{C3380CC4-5D6E-409C-BE32-E72D297353CC}">
              <c16:uniqueId val="{00000004-85EA-41D8-BD2A-BCAC8448841C}"/>
            </c:ext>
          </c:extLst>
        </c:ser>
        <c:dLbls>
          <c:showLegendKey val="0"/>
          <c:showVal val="0"/>
          <c:showCatName val="0"/>
          <c:showSerName val="0"/>
          <c:showPercent val="0"/>
          <c:showBubbleSize val="0"/>
        </c:dLbls>
        <c:axId val="184317824"/>
        <c:axId val="184324096"/>
      </c:scatterChart>
      <c:valAx>
        <c:axId val="184317824"/>
        <c:scaling>
          <c:orientation val="minMax"/>
          <c:min val="500"/>
        </c:scaling>
        <c:delete val="0"/>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4324096"/>
        <c:crosses val="autoZero"/>
        <c:crossBetween val="midCat"/>
        <c:majorUnit val="100"/>
      </c:valAx>
      <c:valAx>
        <c:axId val="184324096"/>
        <c:scaling>
          <c:orientation val="minMax"/>
          <c:max val="14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4317824"/>
        <c:crosses val="autoZero"/>
        <c:crossBetween val="midCat"/>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Berechnungen!$F$156</c:f>
          <c:strCache>
            <c:ptCount val="1"/>
            <c:pt idx="0">
              <c:v>shaft-power demand [KW]</c:v>
            </c:pt>
          </c:strCache>
        </c:strRef>
      </c:tx>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scatterChart>
        <c:scatterStyle val="smoothMarker"/>
        <c:varyColors val="0"/>
        <c:ser>
          <c:idx val="1"/>
          <c:order val="0"/>
          <c:tx>
            <c:strRef>
              <c:f>Berechnungen!$H$145</c:f>
              <c:strCache>
                <c:ptCount val="1"/>
                <c:pt idx="0">
                  <c:v>RR 25% @ 80 bar shaft-power demand [KW]</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Berechnungen!$I$143:$O$143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Berechnungen!$I$145:$O$145</c:f>
              <c:numCache>
                <c:formatCode>0.0</c:formatCode>
                <c:ptCount val="7"/>
                <c:pt idx="0">
                  <c:v>4.9050000000000002</c:v>
                </c:pt>
                <c:pt idx="1">
                  <c:v>6.4718749999999989</c:v>
                </c:pt>
                <c:pt idx="2">
                  <c:v>8.0387499999999985</c:v>
                </c:pt>
                <c:pt idx="3">
                  <c:v>9.6056249999999999</c:v>
                </c:pt>
                <c:pt idx="4">
                  <c:v>11.172499999999999</c:v>
                </c:pt>
                <c:pt idx="5">
                  <c:v>12.739375000000004</c:v>
                </c:pt>
                <c:pt idx="6">
                  <c:v>14.306249999999999</c:v>
                </c:pt>
              </c:numCache>
            </c:numRef>
          </c:yVal>
          <c:smooth val="1"/>
          <c:extLst>
            <c:ext xmlns:c16="http://schemas.microsoft.com/office/drawing/2014/chart" uri="{C3380CC4-5D6E-409C-BE32-E72D297353CC}">
              <c16:uniqueId val="{00000001-F46E-46EC-B443-62E188F5119A}"/>
            </c:ext>
          </c:extLst>
        </c:ser>
        <c:ser>
          <c:idx val="2"/>
          <c:order val="1"/>
          <c:tx>
            <c:strRef>
              <c:f>Berechnungen!$H$146</c:f>
              <c:strCache>
                <c:ptCount val="1"/>
                <c:pt idx="0">
                  <c:v>RR 40% @ 80 bar shaft-power demand [KW]</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Berechnungen!$I$143:$O$143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Berechnungen!$I$146:$O$146</c:f>
              <c:numCache>
                <c:formatCode>0.0</c:formatCode>
                <c:ptCount val="7"/>
                <c:pt idx="0">
                  <c:v>7.8479999999999999</c:v>
                </c:pt>
                <c:pt idx="1">
                  <c:v>10.354999999999999</c:v>
                </c:pt>
                <c:pt idx="2">
                  <c:v>12.861999999999998</c:v>
                </c:pt>
                <c:pt idx="3">
                  <c:v>15.369</c:v>
                </c:pt>
                <c:pt idx="4">
                  <c:v>17.876000000000001</c:v>
                </c:pt>
                <c:pt idx="5">
                  <c:v>20.383000000000003</c:v>
                </c:pt>
                <c:pt idx="6">
                  <c:v>22.889999999999997</c:v>
                </c:pt>
              </c:numCache>
            </c:numRef>
          </c:yVal>
          <c:smooth val="1"/>
          <c:extLst>
            <c:ext xmlns:c16="http://schemas.microsoft.com/office/drawing/2014/chart" uri="{C3380CC4-5D6E-409C-BE32-E72D297353CC}">
              <c16:uniqueId val="{00000002-F46E-46EC-B443-62E188F5119A}"/>
            </c:ext>
          </c:extLst>
        </c:ser>
        <c:ser>
          <c:idx val="3"/>
          <c:order val="2"/>
          <c:tx>
            <c:strRef>
              <c:f>Berechnungen!$H$147</c:f>
              <c:strCache>
                <c:ptCount val="1"/>
                <c:pt idx="0">
                  <c:v>RR 55% @ 80 bar shaft-power demand [KW]</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Berechnungen!$I$143:$O$143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Berechnungen!$I$147:$O$147</c:f>
              <c:numCache>
                <c:formatCode>0.0</c:formatCode>
                <c:ptCount val="7"/>
                <c:pt idx="0">
                  <c:v>10.791</c:v>
                </c:pt>
                <c:pt idx="1">
                  <c:v>14.238125</c:v>
                </c:pt>
                <c:pt idx="2">
                  <c:v>17.685249999999996</c:v>
                </c:pt>
                <c:pt idx="3">
                  <c:v>21.132375</c:v>
                </c:pt>
                <c:pt idx="4">
                  <c:v>24.579499999999999</c:v>
                </c:pt>
                <c:pt idx="5">
                  <c:v>28.02662500000001</c:v>
                </c:pt>
                <c:pt idx="6">
                  <c:v>31.473749999999999</c:v>
                </c:pt>
              </c:numCache>
            </c:numRef>
          </c:yVal>
          <c:smooth val="1"/>
          <c:extLst>
            <c:ext xmlns:c16="http://schemas.microsoft.com/office/drawing/2014/chart" uri="{C3380CC4-5D6E-409C-BE32-E72D297353CC}">
              <c16:uniqueId val="{00000003-F46E-46EC-B443-62E188F5119A}"/>
            </c:ext>
          </c:extLst>
        </c:ser>
        <c:ser>
          <c:idx val="4"/>
          <c:order val="3"/>
          <c:tx>
            <c:strRef>
              <c:f>Berechnungen!$H$148</c:f>
              <c:strCache>
                <c:ptCount val="1"/>
                <c:pt idx="0">
                  <c:v>RR 75% @ 80 bar shaft-power demand [KW]</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Berechnungen!$I$143:$O$143</c:f>
              <c:numCache>
                <c:formatCode>0</c:formatCode>
                <c:ptCount val="7"/>
                <c:pt idx="0">
                  <c:v>600</c:v>
                </c:pt>
                <c:pt idx="1">
                  <c:v>791.66666666666663</c:v>
                </c:pt>
                <c:pt idx="2">
                  <c:v>983.33333333333326</c:v>
                </c:pt>
                <c:pt idx="3">
                  <c:v>1175</c:v>
                </c:pt>
                <c:pt idx="4">
                  <c:v>1366.6666666666667</c:v>
                </c:pt>
                <c:pt idx="5">
                  <c:v>1558.3333333333335</c:v>
                </c:pt>
                <c:pt idx="6">
                  <c:v>1750</c:v>
                </c:pt>
              </c:numCache>
            </c:numRef>
          </c:xVal>
          <c:yVal>
            <c:numRef>
              <c:f>Berechnungen!$I$148:$O$148</c:f>
              <c:numCache>
                <c:formatCode>0.0</c:formatCode>
                <c:ptCount val="7"/>
                <c:pt idx="0">
                  <c:v>14.714999999999998</c:v>
                </c:pt>
                <c:pt idx="1">
                  <c:v>19.415624999999999</c:v>
                </c:pt>
                <c:pt idx="2">
                  <c:v>24.116250000000001</c:v>
                </c:pt>
                <c:pt idx="3">
                  <c:v>28.816875</c:v>
                </c:pt>
                <c:pt idx="4">
                  <c:v>33.517499999999998</c:v>
                </c:pt>
                <c:pt idx="5">
                  <c:v>38.218125000000015</c:v>
                </c:pt>
                <c:pt idx="6">
                  <c:v>42.918749999999996</c:v>
                </c:pt>
              </c:numCache>
            </c:numRef>
          </c:yVal>
          <c:smooth val="1"/>
          <c:extLst>
            <c:ext xmlns:c16="http://schemas.microsoft.com/office/drawing/2014/chart" uri="{C3380CC4-5D6E-409C-BE32-E72D297353CC}">
              <c16:uniqueId val="{00000004-F46E-46EC-B443-62E188F5119A}"/>
            </c:ext>
          </c:extLst>
        </c:ser>
        <c:dLbls>
          <c:showLegendKey val="0"/>
          <c:showVal val="0"/>
          <c:showCatName val="0"/>
          <c:showSerName val="0"/>
          <c:showPercent val="0"/>
          <c:showBubbleSize val="0"/>
        </c:dLbls>
        <c:axId val="182743040"/>
        <c:axId val="182744960"/>
      </c:scatterChart>
      <c:valAx>
        <c:axId val="182743040"/>
        <c:scaling>
          <c:orientation val="minMax"/>
          <c:max val="1600"/>
          <c:min val="500"/>
        </c:scaling>
        <c:delete val="0"/>
        <c:axPos val="b"/>
        <c:majorGridlines>
          <c:spPr>
            <a:ln w="9525" cap="flat" cmpd="sng" algn="ctr">
              <a:solidFill>
                <a:schemeClr val="tx1">
                  <a:lumMod val="15000"/>
                  <a:lumOff val="85000"/>
                </a:schemeClr>
              </a:solidFill>
              <a:round/>
            </a:ln>
            <a:effectLst/>
          </c:spPr>
        </c:majorGridlines>
        <c:numFmt formatCode="0"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744960"/>
        <c:crosses val="autoZero"/>
        <c:crossBetween val="midCat"/>
        <c:majorUnit val="100"/>
        <c:minorUnit val="50"/>
      </c:valAx>
      <c:valAx>
        <c:axId val="1827449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74304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Berechnungen!$F$156</c:f>
          <c:strCache>
            <c:ptCount val="1"/>
            <c:pt idx="0">
              <c:v>shaft-power demand [KW]</c:v>
            </c:pt>
          </c:strCache>
        </c:strRef>
      </c:tx>
      <c:layout>
        <c:manualLayout>
          <c:xMode val="edge"/>
          <c:yMode val="edge"/>
          <c:x val="0.11010968830667406"/>
          <c:y val="9.2134327579913439E-2"/>
        </c:manualLayout>
      </c:layout>
      <c:overlay val="0"/>
      <c:spPr>
        <a:solidFill>
          <a:sysClr val="window" lastClr="FFFFFF"/>
        </a:solid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4367251316030641E-2"/>
          <c:y val="5.9741009195042674E-2"/>
          <c:w val="0.88507230138030557"/>
          <c:h val="0.5618912529550828"/>
        </c:manualLayout>
      </c:layout>
      <c:scatterChart>
        <c:scatterStyle val="smoothMarker"/>
        <c:varyColors val="0"/>
        <c:ser>
          <c:idx val="1"/>
          <c:order val="0"/>
          <c:tx>
            <c:strRef>
              <c:f>Berechnungen!$H$145</c:f>
              <c:strCache>
                <c:ptCount val="1"/>
                <c:pt idx="0">
                  <c:v>RR 25% @ 80 bar shaft-power demand [KW]</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Berechnungen!$I$144:$O$144</c:f>
              <c:numCache>
                <c:formatCode>General</c:formatCode>
                <c:ptCount val="7"/>
                <c:pt idx="0">
                  <c:v>8.1</c:v>
                </c:pt>
                <c:pt idx="1">
                  <c:v>10.6875</c:v>
                </c:pt>
                <c:pt idx="2">
                  <c:v>13.274999999999999</c:v>
                </c:pt>
                <c:pt idx="3">
                  <c:v>15.862500000000001</c:v>
                </c:pt>
                <c:pt idx="4">
                  <c:v>18.45</c:v>
                </c:pt>
                <c:pt idx="5">
                  <c:v>21.037500000000005</c:v>
                </c:pt>
                <c:pt idx="6">
                  <c:v>23.625</c:v>
                </c:pt>
              </c:numCache>
            </c:numRef>
          </c:xVal>
          <c:yVal>
            <c:numRef>
              <c:f>Berechnungen!$I$145:$O$145</c:f>
              <c:numCache>
                <c:formatCode>0.0</c:formatCode>
                <c:ptCount val="7"/>
                <c:pt idx="0">
                  <c:v>4.9050000000000002</c:v>
                </c:pt>
                <c:pt idx="1">
                  <c:v>6.4718749999999989</c:v>
                </c:pt>
                <c:pt idx="2">
                  <c:v>8.0387499999999985</c:v>
                </c:pt>
                <c:pt idx="3">
                  <c:v>9.6056249999999999</c:v>
                </c:pt>
                <c:pt idx="4">
                  <c:v>11.172499999999999</c:v>
                </c:pt>
                <c:pt idx="5">
                  <c:v>12.739375000000004</c:v>
                </c:pt>
                <c:pt idx="6">
                  <c:v>14.306249999999999</c:v>
                </c:pt>
              </c:numCache>
            </c:numRef>
          </c:yVal>
          <c:smooth val="1"/>
          <c:extLst>
            <c:ext xmlns:c16="http://schemas.microsoft.com/office/drawing/2014/chart" uri="{C3380CC4-5D6E-409C-BE32-E72D297353CC}">
              <c16:uniqueId val="{00000000-0335-4386-B163-3229BE25EC06}"/>
            </c:ext>
          </c:extLst>
        </c:ser>
        <c:ser>
          <c:idx val="2"/>
          <c:order val="1"/>
          <c:tx>
            <c:strRef>
              <c:f>Berechnungen!$H$146</c:f>
              <c:strCache>
                <c:ptCount val="1"/>
                <c:pt idx="0">
                  <c:v>RR 40% @ 80 bar shaft-power demand [KW]</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Berechnungen!$I$144:$O$144</c:f>
              <c:numCache>
                <c:formatCode>General</c:formatCode>
                <c:ptCount val="7"/>
                <c:pt idx="0">
                  <c:v>8.1</c:v>
                </c:pt>
                <c:pt idx="1">
                  <c:v>10.6875</c:v>
                </c:pt>
                <c:pt idx="2">
                  <c:v>13.274999999999999</c:v>
                </c:pt>
                <c:pt idx="3">
                  <c:v>15.862500000000001</c:v>
                </c:pt>
                <c:pt idx="4">
                  <c:v>18.45</c:v>
                </c:pt>
                <c:pt idx="5">
                  <c:v>21.037500000000005</c:v>
                </c:pt>
                <c:pt idx="6">
                  <c:v>23.625</c:v>
                </c:pt>
              </c:numCache>
            </c:numRef>
          </c:xVal>
          <c:yVal>
            <c:numRef>
              <c:f>Berechnungen!$I$146:$O$146</c:f>
              <c:numCache>
                <c:formatCode>0.0</c:formatCode>
                <c:ptCount val="7"/>
                <c:pt idx="0">
                  <c:v>7.8479999999999999</c:v>
                </c:pt>
                <c:pt idx="1">
                  <c:v>10.354999999999999</c:v>
                </c:pt>
                <c:pt idx="2">
                  <c:v>12.861999999999998</c:v>
                </c:pt>
                <c:pt idx="3">
                  <c:v>15.369</c:v>
                </c:pt>
                <c:pt idx="4">
                  <c:v>17.876000000000001</c:v>
                </c:pt>
                <c:pt idx="5">
                  <c:v>20.383000000000003</c:v>
                </c:pt>
                <c:pt idx="6">
                  <c:v>22.889999999999997</c:v>
                </c:pt>
              </c:numCache>
            </c:numRef>
          </c:yVal>
          <c:smooth val="1"/>
          <c:extLst>
            <c:ext xmlns:c16="http://schemas.microsoft.com/office/drawing/2014/chart" uri="{C3380CC4-5D6E-409C-BE32-E72D297353CC}">
              <c16:uniqueId val="{00000001-0335-4386-B163-3229BE25EC06}"/>
            </c:ext>
          </c:extLst>
        </c:ser>
        <c:ser>
          <c:idx val="3"/>
          <c:order val="2"/>
          <c:tx>
            <c:strRef>
              <c:f>Berechnungen!$H$147</c:f>
              <c:strCache>
                <c:ptCount val="1"/>
                <c:pt idx="0">
                  <c:v>RR 55% @ 80 bar shaft-power demand [KW]</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Berechnungen!$I$144:$O$144</c:f>
              <c:numCache>
                <c:formatCode>General</c:formatCode>
                <c:ptCount val="7"/>
                <c:pt idx="0">
                  <c:v>8.1</c:v>
                </c:pt>
                <c:pt idx="1">
                  <c:v>10.6875</c:v>
                </c:pt>
                <c:pt idx="2">
                  <c:v>13.274999999999999</c:v>
                </c:pt>
                <c:pt idx="3">
                  <c:v>15.862500000000001</c:v>
                </c:pt>
                <c:pt idx="4">
                  <c:v>18.45</c:v>
                </c:pt>
                <c:pt idx="5">
                  <c:v>21.037500000000005</c:v>
                </c:pt>
                <c:pt idx="6">
                  <c:v>23.625</c:v>
                </c:pt>
              </c:numCache>
            </c:numRef>
          </c:xVal>
          <c:yVal>
            <c:numRef>
              <c:f>Berechnungen!$I$147:$O$147</c:f>
              <c:numCache>
                <c:formatCode>0.0</c:formatCode>
                <c:ptCount val="7"/>
                <c:pt idx="0">
                  <c:v>10.791</c:v>
                </c:pt>
                <c:pt idx="1">
                  <c:v>14.238125</c:v>
                </c:pt>
                <c:pt idx="2">
                  <c:v>17.685249999999996</c:v>
                </c:pt>
                <c:pt idx="3">
                  <c:v>21.132375</c:v>
                </c:pt>
                <c:pt idx="4">
                  <c:v>24.579499999999999</c:v>
                </c:pt>
                <c:pt idx="5">
                  <c:v>28.02662500000001</c:v>
                </c:pt>
                <c:pt idx="6">
                  <c:v>31.473749999999999</c:v>
                </c:pt>
              </c:numCache>
            </c:numRef>
          </c:yVal>
          <c:smooth val="1"/>
          <c:extLst>
            <c:ext xmlns:c16="http://schemas.microsoft.com/office/drawing/2014/chart" uri="{C3380CC4-5D6E-409C-BE32-E72D297353CC}">
              <c16:uniqueId val="{00000002-0335-4386-B163-3229BE25EC06}"/>
            </c:ext>
          </c:extLst>
        </c:ser>
        <c:ser>
          <c:idx val="4"/>
          <c:order val="3"/>
          <c:tx>
            <c:strRef>
              <c:f>Berechnungen!$H$148</c:f>
              <c:strCache>
                <c:ptCount val="1"/>
                <c:pt idx="0">
                  <c:v>RR 75% @ 80 bar shaft-power demand [KW]</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Berechnungen!$I$144:$O$144</c:f>
              <c:numCache>
                <c:formatCode>General</c:formatCode>
                <c:ptCount val="7"/>
                <c:pt idx="0">
                  <c:v>8.1</c:v>
                </c:pt>
                <c:pt idx="1">
                  <c:v>10.6875</c:v>
                </c:pt>
                <c:pt idx="2">
                  <c:v>13.274999999999999</c:v>
                </c:pt>
                <c:pt idx="3">
                  <c:v>15.862500000000001</c:v>
                </c:pt>
                <c:pt idx="4">
                  <c:v>18.45</c:v>
                </c:pt>
                <c:pt idx="5">
                  <c:v>21.037500000000005</c:v>
                </c:pt>
                <c:pt idx="6">
                  <c:v>23.625</c:v>
                </c:pt>
              </c:numCache>
            </c:numRef>
          </c:xVal>
          <c:yVal>
            <c:numRef>
              <c:f>Berechnungen!$I$148:$O$148</c:f>
              <c:numCache>
                <c:formatCode>0.0</c:formatCode>
                <c:ptCount val="7"/>
                <c:pt idx="0">
                  <c:v>14.714999999999998</c:v>
                </c:pt>
                <c:pt idx="1">
                  <c:v>19.415624999999999</c:v>
                </c:pt>
                <c:pt idx="2">
                  <c:v>24.116250000000001</c:v>
                </c:pt>
                <c:pt idx="3">
                  <c:v>28.816875</c:v>
                </c:pt>
                <c:pt idx="4">
                  <c:v>33.517499999999998</c:v>
                </c:pt>
                <c:pt idx="5">
                  <c:v>38.218125000000015</c:v>
                </c:pt>
                <c:pt idx="6">
                  <c:v>42.918749999999996</c:v>
                </c:pt>
              </c:numCache>
            </c:numRef>
          </c:yVal>
          <c:smooth val="1"/>
          <c:extLst>
            <c:ext xmlns:c16="http://schemas.microsoft.com/office/drawing/2014/chart" uri="{C3380CC4-5D6E-409C-BE32-E72D297353CC}">
              <c16:uniqueId val="{00000003-0335-4386-B163-3229BE25EC06}"/>
            </c:ext>
          </c:extLst>
        </c:ser>
        <c:dLbls>
          <c:showLegendKey val="0"/>
          <c:showVal val="0"/>
          <c:showCatName val="0"/>
          <c:showSerName val="0"/>
          <c:showPercent val="0"/>
          <c:showBubbleSize val="0"/>
        </c:dLbls>
        <c:axId val="182802688"/>
        <c:axId val="182808960"/>
      </c:scatterChart>
      <c:valAx>
        <c:axId val="182802688"/>
        <c:scaling>
          <c:orientation val="minMax"/>
          <c:max val="60"/>
          <c:min val="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in"/>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808960"/>
        <c:crosses val="autoZero"/>
        <c:crossBetween val="midCat"/>
        <c:majorUnit val="5"/>
      </c:valAx>
      <c:valAx>
        <c:axId val="182808960"/>
        <c:scaling>
          <c:orientation val="minMax"/>
          <c:max val="100"/>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802688"/>
        <c:crosses val="autoZero"/>
        <c:crossBetween val="midCat"/>
        <c:majorUnit val="10"/>
      </c:valAx>
      <c:spPr>
        <a:noFill/>
        <a:ln>
          <a:noFill/>
        </a:ln>
        <a:effectLst/>
      </c:spPr>
    </c:plotArea>
    <c:legend>
      <c:legendPos val="b"/>
      <c:layout>
        <c:manualLayout>
          <c:xMode val="edge"/>
          <c:yMode val="edge"/>
          <c:x val="1.3390087144247876E-2"/>
          <c:y val="0.7891660756501182"/>
          <c:w val="0.97061290790689803"/>
          <c:h val="0.189083037825059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image" Target="../media/image1.png"/><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161926</xdr:colOff>
      <xdr:row>0</xdr:row>
      <xdr:rowOff>69529</xdr:rowOff>
    </xdr:from>
    <xdr:to>
      <xdr:col>0</xdr:col>
      <xdr:colOff>1997624</xdr:colOff>
      <xdr:row>0</xdr:row>
      <xdr:rowOff>583883</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61926" y="69529"/>
          <a:ext cx="1835698" cy="51435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551744</xdr:colOff>
      <xdr:row>3</xdr:row>
      <xdr:rowOff>122485</xdr:rowOff>
    </xdr:to>
    <xdr:pic>
      <xdr:nvPicPr>
        <xdr:cNvPr id="3" name="Grafik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0" y="162278"/>
          <a:ext cx="1828800" cy="447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80971</xdr:colOff>
      <xdr:row>28</xdr:row>
      <xdr:rowOff>100005</xdr:rowOff>
    </xdr:from>
    <xdr:to>
      <xdr:col>10</xdr:col>
      <xdr:colOff>220141</xdr:colOff>
      <xdr:row>30</xdr:row>
      <xdr:rowOff>2437</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39021" y="5581643"/>
          <a:ext cx="901170" cy="3834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0</xdr:row>
      <xdr:rowOff>61909</xdr:rowOff>
    </xdr:from>
    <xdr:to>
      <xdr:col>2</xdr:col>
      <xdr:colOff>4642</xdr:colOff>
      <xdr:row>0</xdr:row>
      <xdr:rowOff>600073</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161925" y="61909"/>
          <a:ext cx="2252542" cy="5381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15298</xdr:colOff>
      <xdr:row>12</xdr:row>
      <xdr:rowOff>657</xdr:rowOff>
    </xdr:from>
    <xdr:to>
      <xdr:col>5</xdr:col>
      <xdr:colOff>1192300</xdr:colOff>
      <xdr:row>19</xdr:row>
      <xdr:rowOff>118380</xdr:rowOff>
    </xdr:to>
    <xdr:pic>
      <xdr:nvPicPr>
        <xdr:cNvPr id="3" name="Grafik 2" descr="SALINO-PC_seitleich.JP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329623" y="2620032"/>
          <a:ext cx="3353465" cy="1403598"/>
        </a:xfrm>
        <a:prstGeom prst="rect">
          <a:avLst/>
        </a:prstGeom>
        <a:ln>
          <a:noFill/>
        </a:ln>
        <a:effectLst>
          <a:outerShdw blurRad="292100" dist="139700" dir="2700000" algn="tl" rotWithShape="0">
            <a:srgbClr val="333333">
              <a:alpha val="65000"/>
            </a:srgbClr>
          </a:outerShdw>
        </a:effectLst>
      </xdr:spPr>
    </xdr:pic>
    <xdr:clientData/>
  </xdr:twoCellAnchor>
  <xdr:twoCellAnchor editAs="absolute">
    <xdr:from>
      <xdr:col>5</xdr:col>
      <xdr:colOff>47602</xdr:colOff>
      <xdr:row>17</xdr:row>
      <xdr:rowOff>47620</xdr:rowOff>
    </xdr:from>
    <xdr:to>
      <xdr:col>5</xdr:col>
      <xdr:colOff>323841</xdr:colOff>
      <xdr:row>31</xdr:row>
      <xdr:rowOff>66673</xdr:rowOff>
    </xdr:to>
    <xdr:sp macro="" textlink="">
      <xdr:nvSpPr>
        <xdr:cNvPr id="4" name="Pfeil nach rechts 3">
          <a:extLst>
            <a:ext uri="{FF2B5EF4-FFF2-40B4-BE49-F238E27FC236}">
              <a16:creationId xmlns:a16="http://schemas.microsoft.com/office/drawing/2014/main" id="{00000000-0008-0000-0300-000004000000}"/>
            </a:ext>
          </a:extLst>
        </xdr:cNvPr>
        <xdr:cNvSpPr/>
      </xdr:nvSpPr>
      <xdr:spPr>
        <a:xfrm rot="16200000" flipV="1">
          <a:off x="1371583" y="4757727"/>
          <a:ext cx="2609853" cy="276239"/>
        </a:xfrm>
        <a:prstGeom prst="rightArrow">
          <a:avLst>
            <a:gd name="adj1" fmla="val 41463"/>
            <a:gd name="adj2" fmla="val 54043"/>
          </a:avLst>
        </a:prstGeom>
        <a:solidFill>
          <a:schemeClr val="accent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5</xdr:col>
      <xdr:colOff>190498</xdr:colOff>
      <xdr:row>6</xdr:row>
      <xdr:rowOff>44473</xdr:rowOff>
    </xdr:from>
    <xdr:to>
      <xdr:col>5</xdr:col>
      <xdr:colOff>628649</xdr:colOff>
      <xdr:row>13</xdr:row>
      <xdr:rowOff>95247</xdr:rowOff>
    </xdr:to>
    <xdr:sp macro="" textlink="">
      <xdr:nvSpPr>
        <xdr:cNvPr id="5" name="Nach oben gebogener Pfeil 4">
          <a:extLst>
            <a:ext uri="{FF2B5EF4-FFF2-40B4-BE49-F238E27FC236}">
              <a16:creationId xmlns:a16="http://schemas.microsoft.com/office/drawing/2014/main" id="{00000000-0008-0000-0300-000005000000}"/>
            </a:ext>
          </a:extLst>
        </xdr:cNvPr>
        <xdr:cNvSpPr/>
      </xdr:nvSpPr>
      <xdr:spPr>
        <a:xfrm rot="5400000" flipH="1">
          <a:off x="2170124" y="2027247"/>
          <a:ext cx="1336649" cy="438151"/>
        </a:xfrm>
        <a:prstGeom prst="bentUpArrow">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5</xdr:col>
      <xdr:colOff>704850</xdr:colOff>
      <xdr:row>5</xdr:row>
      <xdr:rowOff>141816</xdr:rowOff>
    </xdr:from>
    <xdr:to>
      <xdr:col>8</xdr:col>
      <xdr:colOff>408518</xdr:colOff>
      <xdr:row>8</xdr:row>
      <xdr:rowOff>239</xdr:rowOff>
    </xdr:to>
    <xdr:pic>
      <xdr:nvPicPr>
        <xdr:cNvPr id="6" name="Grafik 5" descr="membran.jpg">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cstate="print"/>
        <a:stretch>
          <a:fillRect/>
        </a:stretch>
      </xdr:blipFill>
      <xdr:spPr>
        <a:xfrm>
          <a:off x="3133725" y="1456266"/>
          <a:ext cx="2631018" cy="439448"/>
        </a:xfrm>
        <a:prstGeom prst="rect">
          <a:avLst/>
        </a:prstGeom>
      </xdr:spPr>
    </xdr:pic>
    <xdr:clientData/>
  </xdr:twoCellAnchor>
  <xdr:twoCellAnchor editAs="absolute">
    <xdr:from>
      <xdr:col>5</xdr:col>
      <xdr:colOff>514349</xdr:colOff>
      <xdr:row>10</xdr:row>
      <xdr:rowOff>69304</xdr:rowOff>
    </xdr:from>
    <xdr:to>
      <xdr:col>5</xdr:col>
      <xdr:colOff>962024</xdr:colOff>
      <xdr:row>13</xdr:row>
      <xdr:rowOff>95249</xdr:rowOff>
    </xdr:to>
    <xdr:sp macro="" textlink="">
      <xdr:nvSpPr>
        <xdr:cNvPr id="7" name="Nach oben gebogener Pfeil 6">
          <a:extLst>
            <a:ext uri="{FF2B5EF4-FFF2-40B4-BE49-F238E27FC236}">
              <a16:creationId xmlns:a16="http://schemas.microsoft.com/office/drawing/2014/main" id="{00000000-0008-0000-0300-000007000000}"/>
            </a:ext>
          </a:extLst>
        </xdr:cNvPr>
        <xdr:cNvSpPr/>
      </xdr:nvSpPr>
      <xdr:spPr>
        <a:xfrm rot="10800000">
          <a:off x="2943224" y="2326729"/>
          <a:ext cx="447675" cy="587920"/>
        </a:xfrm>
        <a:prstGeom prst="bentUpArrow">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5</xdr:col>
      <xdr:colOff>568326</xdr:colOff>
      <xdr:row>10</xdr:row>
      <xdr:rowOff>66675</xdr:rowOff>
    </xdr:from>
    <xdr:to>
      <xdr:col>8</xdr:col>
      <xdr:colOff>352424</xdr:colOff>
      <xdr:row>11</xdr:row>
      <xdr:rowOff>8974</xdr:rowOff>
    </xdr:to>
    <xdr:sp macro="" textlink="">
      <xdr:nvSpPr>
        <xdr:cNvPr id="8" name="Rechteck 7">
          <a:extLst>
            <a:ext uri="{FF2B5EF4-FFF2-40B4-BE49-F238E27FC236}">
              <a16:creationId xmlns:a16="http://schemas.microsoft.com/office/drawing/2014/main" id="{00000000-0008-0000-0300-000008000000}"/>
            </a:ext>
          </a:extLst>
        </xdr:cNvPr>
        <xdr:cNvSpPr/>
      </xdr:nvSpPr>
      <xdr:spPr>
        <a:xfrm>
          <a:off x="2997201" y="2324100"/>
          <a:ext cx="2711448" cy="123274"/>
        </a:xfrm>
        <a:prstGeom prst="rect">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8</xdr:col>
      <xdr:colOff>266700</xdr:colOff>
      <xdr:row>8</xdr:row>
      <xdr:rowOff>84537</xdr:rowOff>
    </xdr:from>
    <xdr:to>
      <xdr:col>8</xdr:col>
      <xdr:colOff>387350</xdr:colOff>
      <xdr:row>11</xdr:row>
      <xdr:rowOff>8971</xdr:rowOff>
    </xdr:to>
    <xdr:sp macro="" textlink="">
      <xdr:nvSpPr>
        <xdr:cNvPr id="9" name="Rechteck 8">
          <a:extLst>
            <a:ext uri="{FF2B5EF4-FFF2-40B4-BE49-F238E27FC236}">
              <a16:creationId xmlns:a16="http://schemas.microsoft.com/office/drawing/2014/main" id="{00000000-0008-0000-0300-000009000000}"/>
            </a:ext>
          </a:extLst>
        </xdr:cNvPr>
        <xdr:cNvSpPr/>
      </xdr:nvSpPr>
      <xdr:spPr>
        <a:xfrm rot="16200000">
          <a:off x="5452745" y="2156542"/>
          <a:ext cx="467359" cy="114300"/>
        </a:xfrm>
        <a:prstGeom prst="rect">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9</xdr:col>
      <xdr:colOff>9526</xdr:colOff>
      <xdr:row>6</xdr:row>
      <xdr:rowOff>28573</xdr:rowOff>
    </xdr:from>
    <xdr:to>
      <xdr:col>11</xdr:col>
      <xdr:colOff>390526</xdr:colOff>
      <xdr:row>7</xdr:row>
      <xdr:rowOff>123824</xdr:rowOff>
    </xdr:to>
    <xdr:sp macro="" textlink="">
      <xdr:nvSpPr>
        <xdr:cNvPr id="10" name="Pfeil nach rechts 9">
          <a:extLst>
            <a:ext uri="{FF2B5EF4-FFF2-40B4-BE49-F238E27FC236}">
              <a16:creationId xmlns:a16="http://schemas.microsoft.com/office/drawing/2014/main" id="{00000000-0008-0000-0300-00000A000000}"/>
            </a:ext>
          </a:extLst>
        </xdr:cNvPr>
        <xdr:cNvSpPr/>
      </xdr:nvSpPr>
      <xdr:spPr>
        <a:xfrm flipV="1">
          <a:off x="5867401" y="1562098"/>
          <a:ext cx="1162050" cy="276226"/>
        </a:xfrm>
        <a:prstGeom prst="rightArrow">
          <a:avLst>
            <a:gd name="adj1" fmla="val 41463"/>
            <a:gd name="adj2" fmla="val 54043"/>
          </a:avLst>
        </a:prstGeom>
        <a:solidFill>
          <a:schemeClr val="accent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5</xdr:col>
      <xdr:colOff>571500</xdr:colOff>
      <xdr:row>18</xdr:row>
      <xdr:rowOff>138067</xdr:rowOff>
    </xdr:from>
    <xdr:to>
      <xdr:col>8</xdr:col>
      <xdr:colOff>396875</xdr:colOff>
      <xdr:row>20</xdr:row>
      <xdr:rowOff>72424</xdr:rowOff>
    </xdr:to>
    <xdr:sp macro="" textlink="">
      <xdr:nvSpPr>
        <xdr:cNvPr id="11" name="Pfeil nach rechts 10">
          <a:extLst>
            <a:ext uri="{FF2B5EF4-FFF2-40B4-BE49-F238E27FC236}">
              <a16:creationId xmlns:a16="http://schemas.microsoft.com/office/drawing/2014/main" id="{00000000-0008-0000-0300-00000B000000}"/>
            </a:ext>
          </a:extLst>
        </xdr:cNvPr>
        <xdr:cNvSpPr/>
      </xdr:nvSpPr>
      <xdr:spPr>
        <a:xfrm flipV="1">
          <a:off x="3062288" y="3862342"/>
          <a:ext cx="2816225" cy="296307"/>
        </a:xfrm>
        <a:prstGeom prst="rightArrow">
          <a:avLst>
            <a:gd name="adj1" fmla="val 41463"/>
            <a:gd name="adj2" fmla="val 54043"/>
          </a:avLst>
        </a:prstGeom>
        <a:solidFill>
          <a:schemeClr val="accent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5</xdr:col>
      <xdr:colOff>561983</xdr:colOff>
      <xdr:row>17</xdr:row>
      <xdr:rowOff>66673</xdr:rowOff>
    </xdr:from>
    <xdr:to>
      <xdr:col>5</xdr:col>
      <xdr:colOff>666751</xdr:colOff>
      <xdr:row>19</xdr:row>
      <xdr:rowOff>157163</xdr:rowOff>
    </xdr:to>
    <xdr:sp macro="" textlink="">
      <xdr:nvSpPr>
        <xdr:cNvPr id="12" name="Rechteck 11">
          <a:extLst>
            <a:ext uri="{FF2B5EF4-FFF2-40B4-BE49-F238E27FC236}">
              <a16:creationId xmlns:a16="http://schemas.microsoft.com/office/drawing/2014/main" id="{00000000-0008-0000-0300-00000C000000}"/>
            </a:ext>
          </a:extLst>
        </xdr:cNvPr>
        <xdr:cNvSpPr/>
      </xdr:nvSpPr>
      <xdr:spPr>
        <a:xfrm rot="16200000">
          <a:off x="2878935" y="3783809"/>
          <a:ext cx="452440" cy="104768"/>
        </a:xfrm>
        <a:prstGeom prst="rect">
          <a:avLst/>
        </a:prstGeom>
        <a:solidFill>
          <a:schemeClr val="accent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oneCell">
    <xdr:from>
      <xdr:col>0</xdr:col>
      <xdr:colOff>1</xdr:colOff>
      <xdr:row>0</xdr:row>
      <xdr:rowOff>0</xdr:rowOff>
    </xdr:from>
    <xdr:to>
      <xdr:col>4</xdr:col>
      <xdr:colOff>82551</xdr:colOff>
      <xdr:row>0</xdr:row>
      <xdr:rowOff>447040</xdr:rowOff>
    </xdr:to>
    <xdr:pic>
      <xdr:nvPicPr>
        <xdr:cNvPr id="13" name="Grafik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1" y="0"/>
          <a:ext cx="1828800" cy="447040"/>
        </a:xfrm>
        <a:prstGeom prst="rect">
          <a:avLst/>
        </a:prstGeom>
      </xdr:spPr>
    </xdr:pic>
    <xdr:clientData/>
  </xdr:twoCellAnchor>
  <xdr:twoCellAnchor editAs="oneCell">
    <xdr:from>
      <xdr:col>9</xdr:col>
      <xdr:colOff>241312</xdr:colOff>
      <xdr:row>34</xdr:row>
      <xdr:rowOff>119257</xdr:rowOff>
    </xdr:from>
    <xdr:to>
      <xdr:col>11</xdr:col>
      <xdr:colOff>338149</xdr:colOff>
      <xdr:row>36</xdr:row>
      <xdr:rowOff>142866</xdr:rowOff>
    </xdr:to>
    <xdr:pic>
      <xdr:nvPicPr>
        <xdr:cNvPr id="21" name="Grafik 20">
          <a:extLst>
            <a:ext uri="{FF2B5EF4-FFF2-40B4-BE49-F238E27FC236}">
              <a16:creationId xmlns:a16="http://schemas.microsoft.com/office/drawing/2014/main" id="{00000000-0008-0000-03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32537" y="6796282"/>
          <a:ext cx="901700" cy="3855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5</xdr:col>
      <xdr:colOff>419101</xdr:colOff>
      <xdr:row>26</xdr:row>
      <xdr:rowOff>47634</xdr:rowOff>
    </xdr:from>
    <xdr:to>
      <xdr:col>8</xdr:col>
      <xdr:colOff>344489</xdr:colOff>
      <xdr:row>27</xdr:row>
      <xdr:rowOff>1595</xdr:rowOff>
    </xdr:to>
    <xdr:sp macro="" textlink="">
      <xdr:nvSpPr>
        <xdr:cNvPr id="20" name="Pfeil nach rechts 10">
          <a:extLst>
            <a:ext uri="{FF2B5EF4-FFF2-40B4-BE49-F238E27FC236}">
              <a16:creationId xmlns:a16="http://schemas.microsoft.com/office/drawing/2014/main" id="{00000000-0008-0000-0300-000014000000}"/>
            </a:ext>
          </a:extLst>
        </xdr:cNvPr>
        <xdr:cNvSpPr/>
      </xdr:nvSpPr>
      <xdr:spPr>
        <a:xfrm flipV="1">
          <a:off x="2909889" y="5257809"/>
          <a:ext cx="2916238" cy="128586"/>
        </a:xfrm>
        <a:prstGeom prst="rightArrow">
          <a:avLst>
            <a:gd name="adj1" fmla="val 41463"/>
            <a:gd name="adj2" fmla="val 54043"/>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twoCellAnchor editAs="absolute">
    <xdr:from>
      <xdr:col>5</xdr:col>
      <xdr:colOff>400061</xdr:colOff>
      <xdr:row>17</xdr:row>
      <xdr:rowOff>71436</xdr:rowOff>
    </xdr:from>
    <xdr:to>
      <xdr:col>5</xdr:col>
      <xdr:colOff>452440</xdr:colOff>
      <xdr:row>26</xdr:row>
      <xdr:rowOff>138113</xdr:rowOff>
    </xdr:to>
    <xdr:sp macro="" textlink="">
      <xdr:nvSpPr>
        <xdr:cNvPr id="22" name="Rechteck 21">
          <a:extLst>
            <a:ext uri="{FF2B5EF4-FFF2-40B4-BE49-F238E27FC236}">
              <a16:creationId xmlns:a16="http://schemas.microsoft.com/office/drawing/2014/main" id="{00000000-0008-0000-0300-000016000000}"/>
            </a:ext>
          </a:extLst>
        </xdr:cNvPr>
        <xdr:cNvSpPr/>
      </xdr:nvSpPr>
      <xdr:spPr>
        <a:xfrm rot="16200000">
          <a:off x="2050263" y="4455322"/>
          <a:ext cx="1733552" cy="52379"/>
        </a:xfrm>
        <a:prstGeom prst="rect">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47463</xdr:colOff>
      <xdr:row>0</xdr:row>
      <xdr:rowOff>38100</xdr:rowOff>
    </xdr:from>
    <xdr:to>
      <xdr:col>9</xdr:col>
      <xdr:colOff>409574</xdr:colOff>
      <xdr:row>4</xdr:row>
      <xdr:rowOff>152400</xdr:rowOff>
    </xdr:to>
    <xdr:pic>
      <xdr:nvPicPr>
        <xdr:cNvPr id="2" name="Grafik 1" descr="KSB Logo.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tretch>
          <a:fillRect/>
        </a:stretch>
      </xdr:blipFill>
      <xdr:spPr>
        <a:xfrm>
          <a:off x="5991063" y="38100"/>
          <a:ext cx="1162211" cy="514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39689</xdr:colOff>
      <xdr:row>2</xdr:row>
      <xdr:rowOff>117079</xdr:rowOff>
    </xdr:from>
    <xdr:to>
      <xdr:col>6</xdr:col>
      <xdr:colOff>47625</xdr:colOff>
      <xdr:row>14</xdr:row>
      <xdr:rowOff>125545</xdr:rowOff>
    </xdr:to>
    <xdr:graphicFrame macro="">
      <xdr:nvGraphicFramePr>
        <xdr:cNvPr id="23" name="Diagramm 4">
          <a:extLst>
            <a:ext uri="{FF2B5EF4-FFF2-40B4-BE49-F238E27FC236}">
              <a16:creationId xmlns:a16="http://schemas.microsoft.com/office/drawing/2014/main" id="{00000000-0008-0000-05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259955</xdr:colOff>
      <xdr:row>32</xdr:row>
      <xdr:rowOff>150813</xdr:rowOff>
    </xdr:from>
    <xdr:to>
      <xdr:col>17</xdr:col>
      <xdr:colOff>575337</xdr:colOff>
      <xdr:row>42</xdr:row>
      <xdr:rowOff>169334</xdr:rowOff>
    </xdr:to>
    <xdr:graphicFrame macro="">
      <xdr:nvGraphicFramePr>
        <xdr:cNvPr id="24" name="Diagramm 5">
          <a:extLst>
            <a:ext uri="{FF2B5EF4-FFF2-40B4-BE49-F238E27FC236}">
              <a16:creationId xmlns:a16="http://schemas.microsoft.com/office/drawing/2014/main" id="{00000000-0008-0000-05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81359</xdr:colOff>
      <xdr:row>23</xdr:row>
      <xdr:rowOff>154781</xdr:rowOff>
    </xdr:from>
    <xdr:to>
      <xdr:col>5</xdr:col>
      <xdr:colOff>446484</xdr:colOff>
      <xdr:row>41</xdr:row>
      <xdr:rowOff>136922</xdr:rowOff>
    </xdr:to>
    <xdr:graphicFrame macro="">
      <xdr:nvGraphicFramePr>
        <xdr:cNvPr id="22" name="Diagramm 3">
          <a:extLst>
            <a:ext uri="{FF2B5EF4-FFF2-40B4-BE49-F238E27FC236}">
              <a16:creationId xmlns:a16="http://schemas.microsoft.com/office/drawing/2014/main" id="{00000000-0008-0000-0500-00001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291707</xdr:colOff>
      <xdr:row>1</xdr:row>
      <xdr:rowOff>32812</xdr:rowOff>
    </xdr:from>
    <xdr:to>
      <xdr:col>18</xdr:col>
      <xdr:colOff>660799</xdr:colOff>
      <xdr:row>29</xdr:row>
      <xdr:rowOff>65485</xdr:rowOff>
    </xdr:to>
    <xdr:graphicFrame macro="">
      <xdr:nvGraphicFramePr>
        <xdr:cNvPr id="21" name="Diagramm 2">
          <a:extLst>
            <a:ext uri="{FF2B5EF4-FFF2-40B4-BE49-F238E27FC236}">
              <a16:creationId xmlns:a16="http://schemas.microsoft.com/office/drawing/2014/main" id="{00000000-0008-0000-05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161925</xdr:colOff>
      <xdr:row>0</xdr:row>
      <xdr:rowOff>61909</xdr:rowOff>
    </xdr:from>
    <xdr:to>
      <xdr:col>3</xdr:col>
      <xdr:colOff>128467</xdr:colOff>
      <xdr:row>1</xdr:row>
      <xdr:rowOff>53577</xdr:rowOff>
    </xdr:to>
    <xdr:pic>
      <xdr:nvPicPr>
        <xdr:cNvPr id="20" name="Grafik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5"/>
        <a:stretch>
          <a:fillRect/>
        </a:stretch>
      </xdr:blipFill>
      <xdr:spPr>
        <a:xfrm>
          <a:off x="161925" y="61909"/>
          <a:ext cx="2252542" cy="628653"/>
        </a:xfrm>
        <a:prstGeom prst="rect">
          <a:avLst/>
        </a:prstGeom>
      </xdr:spPr>
    </xdr:pic>
    <xdr:clientData/>
  </xdr:twoCellAnchor>
  <xdr:twoCellAnchor>
    <xdr:from>
      <xdr:col>5</xdr:col>
      <xdr:colOff>430198</xdr:colOff>
      <xdr:row>11</xdr:row>
      <xdr:rowOff>59528</xdr:rowOff>
    </xdr:from>
    <xdr:to>
      <xdr:col>11</xdr:col>
      <xdr:colOff>327422</xdr:colOff>
      <xdr:row>41</xdr:row>
      <xdr:rowOff>17858</xdr:rowOff>
    </xdr:to>
    <xdr:grpSp>
      <xdr:nvGrpSpPr>
        <xdr:cNvPr id="4" name="Gruppieren 3">
          <a:extLst>
            <a:ext uri="{FF2B5EF4-FFF2-40B4-BE49-F238E27FC236}">
              <a16:creationId xmlns:a16="http://schemas.microsoft.com/office/drawing/2014/main" id="{00000000-0008-0000-0500-000004000000}"/>
            </a:ext>
          </a:extLst>
        </xdr:cNvPr>
        <xdr:cNvGrpSpPr/>
      </xdr:nvGrpSpPr>
      <xdr:grpSpPr>
        <a:xfrm>
          <a:off x="4049698" y="2507453"/>
          <a:ext cx="4240624" cy="5387580"/>
          <a:chOff x="3835385" y="1946671"/>
          <a:chExt cx="5040000" cy="6241269"/>
        </a:xfrm>
      </xdr:grpSpPr>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5218" r="14122"/>
          <a:stretch/>
        </xdr:blipFill>
        <xdr:spPr>
          <a:xfrm>
            <a:off x="4030266" y="1946671"/>
            <a:ext cx="4441031" cy="6241269"/>
          </a:xfrm>
          <a:prstGeom prst="rect">
            <a:avLst/>
          </a:prstGeom>
        </xdr:spPr>
      </xdr:pic>
      <xdr:sp macro="" textlink="">
        <xdr:nvSpPr>
          <xdr:cNvPr id="13" name="Textfeld 12">
            <a:extLst>
              <a:ext uri="{FF2B5EF4-FFF2-40B4-BE49-F238E27FC236}">
                <a16:creationId xmlns:a16="http://schemas.microsoft.com/office/drawing/2014/main" id="{00000000-0008-0000-0500-00000D000000}"/>
              </a:ext>
            </a:extLst>
          </xdr:cNvPr>
          <xdr:cNvSpPr txBox="1"/>
        </xdr:nvSpPr>
        <xdr:spPr>
          <a:xfrm rot="2679476">
            <a:off x="4092740" y="6014541"/>
            <a:ext cx="1950680" cy="443152"/>
          </a:xfrm>
          <a:prstGeom prst="rect">
            <a:avLst/>
          </a:prstGeom>
          <a:solidFill>
            <a:srgbClr val="FFFFFF">
              <a:alpha val="67059"/>
            </a:srgb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de-DE" sz="1400" b="1">
                <a:solidFill>
                  <a:sysClr val="windowText" lastClr="000000"/>
                </a:solidFill>
              </a:rPr>
              <a:t>LP IN (Feed)</a:t>
            </a:r>
          </a:p>
        </xdr:txBody>
      </xdr:sp>
      <xdr:sp macro="" textlink="">
        <xdr:nvSpPr>
          <xdr:cNvPr id="14" name="Textfeld 13">
            <a:extLst>
              <a:ext uri="{FF2B5EF4-FFF2-40B4-BE49-F238E27FC236}">
                <a16:creationId xmlns:a16="http://schemas.microsoft.com/office/drawing/2014/main" id="{00000000-0008-0000-0500-00000E000000}"/>
              </a:ext>
            </a:extLst>
          </xdr:cNvPr>
          <xdr:cNvSpPr txBox="1"/>
        </xdr:nvSpPr>
        <xdr:spPr>
          <a:xfrm rot="18850403">
            <a:off x="6521522" y="5960087"/>
            <a:ext cx="2104974" cy="410670"/>
          </a:xfrm>
          <a:prstGeom prst="rect">
            <a:avLst/>
          </a:prstGeom>
          <a:solidFill>
            <a:srgbClr val="FFFFFF">
              <a:alpha val="67059"/>
            </a:srgb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de-DE" sz="1400" b="1">
                <a:solidFill>
                  <a:sysClr val="windowText" lastClr="000000"/>
                </a:solidFill>
              </a:rPr>
              <a:t>LP OUT (Drain)</a:t>
            </a:r>
          </a:p>
        </xdr:txBody>
      </xdr:sp>
      <xdr:sp macro="" textlink="">
        <xdr:nvSpPr>
          <xdr:cNvPr id="15" name="Textfeld 14">
            <a:extLst>
              <a:ext uri="{FF2B5EF4-FFF2-40B4-BE49-F238E27FC236}">
                <a16:creationId xmlns:a16="http://schemas.microsoft.com/office/drawing/2014/main" id="{00000000-0008-0000-0500-00000F000000}"/>
              </a:ext>
            </a:extLst>
          </xdr:cNvPr>
          <xdr:cNvSpPr txBox="1"/>
        </xdr:nvSpPr>
        <xdr:spPr>
          <a:xfrm rot="2700000">
            <a:off x="6509343" y="3463982"/>
            <a:ext cx="2030785" cy="425672"/>
          </a:xfrm>
          <a:prstGeom prst="rect">
            <a:avLst/>
          </a:prstGeom>
          <a:solidFill>
            <a:srgbClr val="FFFFFF">
              <a:alpha val="67059"/>
            </a:srgb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de-DE" sz="1400" b="1">
                <a:solidFill>
                  <a:sysClr val="windowText" lastClr="000000"/>
                </a:solidFill>
              </a:rPr>
              <a:t>HP OUT (to RO)</a:t>
            </a:r>
          </a:p>
        </xdr:txBody>
      </xdr:sp>
      <xdr:sp macro="" textlink="">
        <xdr:nvSpPr>
          <xdr:cNvPr id="16" name="Textfeld 15">
            <a:extLst>
              <a:ext uri="{FF2B5EF4-FFF2-40B4-BE49-F238E27FC236}">
                <a16:creationId xmlns:a16="http://schemas.microsoft.com/office/drawing/2014/main" id="{00000000-0008-0000-0500-000010000000}"/>
              </a:ext>
            </a:extLst>
          </xdr:cNvPr>
          <xdr:cNvSpPr txBox="1"/>
        </xdr:nvSpPr>
        <xdr:spPr>
          <a:xfrm rot="18900000">
            <a:off x="4092312" y="3427703"/>
            <a:ext cx="2021942" cy="427534"/>
          </a:xfrm>
          <a:prstGeom prst="rect">
            <a:avLst/>
          </a:prstGeom>
          <a:solidFill>
            <a:srgbClr val="FFFFFF">
              <a:alpha val="67059"/>
            </a:srgbClr>
          </a:solid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de-DE" sz="1400" b="1">
                <a:solidFill>
                  <a:sysClr val="windowText" lastClr="000000"/>
                </a:solidFill>
              </a:rPr>
              <a:t>HP IN (from</a:t>
            </a:r>
            <a:r>
              <a:rPr lang="de-DE" sz="1400" b="1" baseline="0">
                <a:solidFill>
                  <a:sysClr val="windowText" lastClr="000000"/>
                </a:solidFill>
              </a:rPr>
              <a:t> RO</a:t>
            </a:r>
            <a:r>
              <a:rPr lang="de-DE" sz="1400" b="1">
                <a:solidFill>
                  <a:sysClr val="windowText" lastClr="000000"/>
                </a:solidFill>
              </a:rPr>
              <a:t>)</a:t>
            </a:r>
          </a:p>
        </xdr:txBody>
      </xdr:sp>
      <xdr:sp macro="" textlink="$C$18">
        <xdr:nvSpPr>
          <xdr:cNvPr id="8" name="Pfeil: nach rechts 7">
            <a:extLst>
              <a:ext uri="{FF2B5EF4-FFF2-40B4-BE49-F238E27FC236}">
                <a16:creationId xmlns:a16="http://schemas.microsoft.com/office/drawing/2014/main" id="{00000000-0008-0000-0500-000008000000}"/>
              </a:ext>
            </a:extLst>
          </xdr:cNvPr>
          <xdr:cNvSpPr/>
        </xdr:nvSpPr>
        <xdr:spPr>
          <a:xfrm rot="18900000">
            <a:off x="7815998" y="2449119"/>
            <a:ext cx="612401" cy="1444609"/>
          </a:xfrm>
          <a:prstGeom prst="rightArrow">
            <a:avLst>
              <a:gd name="adj1" fmla="val 50980"/>
              <a:gd name="adj2" fmla="val 64943"/>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algn="ctr"/>
            <a:fld id="{232F08DB-1D51-41AA-8139-A96FA8D2ACEB}" type="TxLink">
              <a:rPr lang="en-US" sz="1400" b="1" i="0" u="none" strike="noStrike">
                <a:solidFill>
                  <a:srgbClr val="000000"/>
                </a:solidFill>
                <a:latin typeface="Calibri"/>
                <a:cs typeface="Calibri"/>
              </a:rPr>
              <a:pPr algn="ctr"/>
              <a:t>SAE 2"</a:t>
            </a:fld>
            <a:endParaRPr lang="de-DE" sz="1400" b="1">
              <a:solidFill>
                <a:sysClr val="windowText" lastClr="000000"/>
              </a:solidFill>
            </a:endParaRPr>
          </a:p>
        </xdr:txBody>
      </xdr:sp>
      <xdr:sp macro="" textlink="$E$18">
        <xdr:nvSpPr>
          <xdr:cNvPr id="9" name="Pfeil: nach rechts 8">
            <a:extLst>
              <a:ext uri="{FF2B5EF4-FFF2-40B4-BE49-F238E27FC236}">
                <a16:creationId xmlns:a16="http://schemas.microsoft.com/office/drawing/2014/main" id="{00000000-0008-0000-0500-000009000000}"/>
              </a:ext>
            </a:extLst>
          </xdr:cNvPr>
          <xdr:cNvSpPr/>
        </xdr:nvSpPr>
        <xdr:spPr>
          <a:xfrm rot="2700000">
            <a:off x="7850910" y="5962794"/>
            <a:ext cx="612972" cy="1435978"/>
          </a:xfrm>
          <a:prstGeom prst="rightArrow">
            <a:avLst>
              <a:gd name="adj1" fmla="val 50980"/>
              <a:gd name="adj2" fmla="val 64943"/>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marL="0" indent="0" algn="ctr"/>
            <a:fld id="{5A491FA5-7058-45A7-843A-753BE38F5226}" type="TxLink">
              <a:rPr lang="en-US" sz="1400" b="1" i="0" u="none" strike="noStrike">
                <a:solidFill>
                  <a:srgbClr val="000000"/>
                </a:solidFill>
                <a:latin typeface="Calibri"/>
                <a:ea typeface="+mn-ea"/>
                <a:cs typeface="Calibri"/>
              </a:rPr>
              <a:pPr marL="0" indent="0" algn="ctr"/>
              <a:t>SAE 2"</a:t>
            </a:fld>
            <a:endParaRPr lang="de-DE" sz="1400" b="1" i="0" u="none" strike="noStrike">
              <a:solidFill>
                <a:srgbClr val="000000"/>
              </a:solidFill>
              <a:latin typeface="Calibri"/>
              <a:ea typeface="+mn-ea"/>
              <a:cs typeface="Calibri"/>
            </a:endParaRPr>
          </a:p>
        </xdr:txBody>
      </xdr:sp>
      <xdr:sp macro="" textlink="$D$18">
        <xdr:nvSpPr>
          <xdr:cNvPr id="10" name="Pfeil: nach rechts 9">
            <a:extLst>
              <a:ext uri="{FF2B5EF4-FFF2-40B4-BE49-F238E27FC236}">
                <a16:creationId xmlns:a16="http://schemas.microsoft.com/office/drawing/2014/main" id="{00000000-0008-0000-0500-00000A000000}"/>
              </a:ext>
            </a:extLst>
          </xdr:cNvPr>
          <xdr:cNvSpPr/>
        </xdr:nvSpPr>
        <xdr:spPr>
          <a:xfrm rot="2700000">
            <a:off x="4245096" y="2340518"/>
            <a:ext cx="616556" cy="1435978"/>
          </a:xfrm>
          <a:prstGeom prst="rightArrow">
            <a:avLst>
              <a:gd name="adj1" fmla="val 50980"/>
              <a:gd name="adj2" fmla="val 64943"/>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lstStyle/>
          <a:p>
            <a:pPr marL="0" indent="0" algn="ctr"/>
            <a:fld id="{4DA11730-2A64-4A3D-BC19-A10A40E9F7A0}" type="TxLink">
              <a:rPr lang="en-US" sz="1400" b="1" i="0" u="none" strike="noStrike">
                <a:solidFill>
                  <a:srgbClr val="000000"/>
                </a:solidFill>
                <a:latin typeface="Calibri"/>
                <a:ea typeface="+mn-ea"/>
                <a:cs typeface="Calibri"/>
              </a:rPr>
              <a:pPr marL="0" indent="0" algn="ctr"/>
              <a:t>SAE 2"</a:t>
            </a:fld>
            <a:endParaRPr lang="de-DE" sz="1400" b="1" i="0" u="none" strike="noStrike">
              <a:solidFill>
                <a:srgbClr val="000000"/>
              </a:solidFill>
              <a:latin typeface="Calibri"/>
              <a:ea typeface="+mn-ea"/>
              <a:cs typeface="Calibri"/>
            </a:endParaRPr>
          </a:p>
        </xdr:txBody>
      </xdr:sp>
      <xdr:sp macro="" textlink="$B$18">
        <xdr:nvSpPr>
          <xdr:cNvPr id="11" name="Pfeil: nach rechts 10">
            <a:extLst>
              <a:ext uri="{FF2B5EF4-FFF2-40B4-BE49-F238E27FC236}">
                <a16:creationId xmlns:a16="http://schemas.microsoft.com/office/drawing/2014/main" id="{00000000-0008-0000-0500-00000B000000}"/>
              </a:ext>
            </a:extLst>
          </xdr:cNvPr>
          <xdr:cNvSpPr/>
        </xdr:nvSpPr>
        <xdr:spPr>
          <a:xfrm rot="18900000">
            <a:off x="4197899" y="6044510"/>
            <a:ext cx="612401" cy="1444609"/>
          </a:xfrm>
          <a:prstGeom prst="rightArrow">
            <a:avLst>
              <a:gd name="adj1" fmla="val 50980"/>
              <a:gd name="adj2" fmla="val 64943"/>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rtlCol="0" anchor="ctr"/>
          <a:lstStyle/>
          <a:p>
            <a:pPr marL="0" indent="0" algn="ctr"/>
            <a:fld id="{27B0FE73-DFC7-4733-8B50-5EB7C0550B70}" type="TxLink">
              <a:rPr lang="en-US" sz="1400" b="1" i="0" u="none" strike="noStrike">
                <a:solidFill>
                  <a:srgbClr val="000000"/>
                </a:solidFill>
                <a:latin typeface="Calibri"/>
                <a:ea typeface="+mn-ea"/>
                <a:cs typeface="Calibri"/>
              </a:rPr>
              <a:pPr marL="0" indent="0" algn="ctr"/>
              <a:t>SAE 2"</a:t>
            </a:fld>
            <a:endParaRPr lang="de-DE" sz="1400" b="1" i="0" u="none" strike="noStrike">
              <a:solidFill>
                <a:srgbClr val="000000"/>
              </a:solidFill>
              <a:latin typeface="Calibri"/>
              <a:ea typeface="+mn-ea"/>
              <a:cs typeface="Calibri"/>
            </a:endParaRPr>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0.10104</cdr:x>
      <cdr:y>0.27663</cdr:y>
    </cdr:from>
    <cdr:to>
      <cdr:x>0.92083</cdr:x>
      <cdr:y>0.88341</cdr:y>
    </cdr:to>
    <cdr:sp macro="" textlink="">
      <cdr:nvSpPr>
        <cdr:cNvPr id="2" name="Textfeld 1">
          <a:extLst xmlns:a="http://schemas.openxmlformats.org/drawingml/2006/main">
            <a:ext uri="{FF2B5EF4-FFF2-40B4-BE49-F238E27FC236}">
              <a16:creationId xmlns:a16="http://schemas.microsoft.com/office/drawing/2014/main" id="{2A043E96-5FB2-45A0-838E-2618783C23BF}"/>
            </a:ext>
          </a:extLst>
        </cdr:cNvPr>
        <cdr:cNvSpPr txBox="1"/>
      </cdr:nvSpPr>
      <cdr:spPr>
        <a:xfrm xmlns:a="http://schemas.openxmlformats.org/drawingml/2006/main">
          <a:off x="461962" y="587588"/>
          <a:ext cx="3748088" cy="1288837"/>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lt1">
              <a:shade val="50000"/>
            </a:schemeClr>
          </a:solidFill>
        </a:ln>
      </cdr:spPr>
      <cdr:txBody>
        <a:bodyPr xmlns:a="http://schemas.openxmlformats.org/drawingml/2006/main" vertOverflow="clip" wrap="square" rtlCol="0"/>
        <a:lstStyle xmlns:a="http://schemas.openxmlformats.org/drawingml/2006/main"/>
        <a:p xmlns:a="http://schemas.openxmlformats.org/drawingml/2006/main">
          <a:r>
            <a:rPr lang="de-DE" sz="1100"/>
            <a:t>- economical benefit starting from 20bar on</a:t>
          </a:r>
          <a:br>
            <a:rPr lang="de-DE" sz="1100"/>
          </a:br>
          <a:r>
            <a:rPr lang="de-DE" sz="1100"/>
            <a:t/>
          </a:r>
          <a:br>
            <a:rPr lang="de-DE" sz="1100"/>
          </a:br>
          <a:r>
            <a:rPr lang="de-DE" sz="1100"/>
            <a:t>- fixed Recovery</a:t>
          </a:r>
          <a:r>
            <a:rPr lang="de-DE" sz="1100" baseline="0"/>
            <a:t> Rates between 25% and 75%</a:t>
          </a:r>
          <a:br>
            <a:rPr lang="de-DE" sz="1100" baseline="0"/>
          </a:br>
          <a:endParaRPr lang="de-DE" sz="1100" baseline="0"/>
        </a:p>
        <a:p xmlns:a="http://schemas.openxmlformats.org/drawingml/2006/main">
          <a:r>
            <a:rPr lang="de-DE" sz="1100" baseline="0"/>
            <a:t>- pressure levels can be higher compared to pump side (multi-stage RO-Process)</a:t>
          </a:r>
          <a:endParaRPr lang="de-DE" sz="1100"/>
        </a:p>
      </cdr:txBody>
    </cdr:sp>
  </cdr:relSizeAnchor>
</c:userShapes>
</file>

<file path=xl/drawings/drawing7.xml><?xml version="1.0" encoding="utf-8"?>
<c:userShapes xmlns:c="http://schemas.openxmlformats.org/drawingml/2006/chart">
  <cdr:relSizeAnchor xmlns:cdr="http://schemas.openxmlformats.org/drawingml/2006/chartDrawing">
    <cdr:from>
      <cdr:x>0.09927</cdr:x>
      <cdr:y>0.35685</cdr:y>
    </cdr:from>
    <cdr:to>
      <cdr:x>0.95711</cdr:x>
      <cdr:y>0.89681</cdr:y>
    </cdr:to>
    <cdr:sp macro="" textlink="Berechnungen!$I$123">
      <cdr:nvSpPr>
        <cdr:cNvPr id="2" name="Textfeld 1">
          <a:extLst xmlns:a="http://schemas.openxmlformats.org/drawingml/2006/main">
            <a:ext uri="{FF2B5EF4-FFF2-40B4-BE49-F238E27FC236}">
              <a16:creationId xmlns:a16="http://schemas.microsoft.com/office/drawing/2014/main" id="{2A043E96-5FB2-45A0-838E-2618783C23BF}"/>
            </a:ext>
          </a:extLst>
        </cdr:cNvPr>
        <cdr:cNvSpPr txBox="1"/>
      </cdr:nvSpPr>
      <cdr:spPr>
        <a:xfrm xmlns:a="http://schemas.openxmlformats.org/drawingml/2006/main">
          <a:off x="484967" y="628814"/>
          <a:ext cx="4190942" cy="951470"/>
        </a:xfrm>
        <a:prstGeom xmlns:a="http://schemas.openxmlformats.org/drawingml/2006/main" prst="rect">
          <a:avLst/>
        </a:prstGeom>
        <a:solidFill xmlns:a="http://schemas.openxmlformats.org/drawingml/2006/main">
          <a:sysClr val="window" lastClr="FFFFFF"/>
        </a:solidFill>
        <a:ln xmlns:a="http://schemas.openxmlformats.org/drawingml/2006/main">
          <a:solidFill>
            <a:schemeClr val="lt1">
              <a:shade val="50000"/>
            </a:schemeClr>
          </a:solidFill>
        </a:ln>
      </cdr:spPr>
      <cdr:txBody>
        <a:bodyPr xmlns:a="http://schemas.openxmlformats.org/drawingml/2006/main" vertOverflow="clip" wrap="square" rtlCol="0"/>
        <a:lstStyle xmlns:a="http://schemas.openxmlformats.org/drawingml/2006/main"/>
        <a:p xmlns:a="http://schemas.openxmlformats.org/drawingml/2006/main">
          <a:fld id="{A89B32AA-ED35-48BE-91FB-314ACC2623F2}" type="TxLink">
            <a:rPr lang="en-US" sz="1000" b="0" i="0" u="none" strike="noStrike">
              <a:solidFill>
                <a:srgbClr val="000000"/>
              </a:solidFill>
              <a:latin typeface="Arial"/>
              <a:cs typeface="Arial"/>
            </a:rPr>
            <a:pPr/>
            <a:t>- back-pressure range between 2,5 and 4 bar</a:t>
          </a:fld>
          <a:endParaRPr lang="de-DE" sz="1100"/>
        </a:p>
      </cdr:txBody>
    </cdr:sp>
  </cdr:relSizeAnchor>
  <cdr:relSizeAnchor xmlns:cdr="http://schemas.openxmlformats.org/drawingml/2006/chartDrawing">
    <cdr:from>
      <cdr:x>0.10168</cdr:x>
      <cdr:y>0.68305</cdr:y>
    </cdr:from>
    <cdr:to>
      <cdr:x>0.93495</cdr:x>
      <cdr:y>0.89189</cdr:y>
    </cdr:to>
    <cdr:sp macro="" textlink="">
      <cdr:nvSpPr>
        <cdr:cNvPr id="3" name="Textfeld 1">
          <a:extLst xmlns:a="http://schemas.openxmlformats.org/drawingml/2006/main">
            <a:ext uri="{FF2B5EF4-FFF2-40B4-BE49-F238E27FC236}">
              <a16:creationId xmlns:a16="http://schemas.microsoft.com/office/drawing/2014/main" id="{62500549-6FCB-4791-BE4D-985026B3C2A5}"/>
            </a:ext>
          </a:extLst>
        </cdr:cNvPr>
        <cdr:cNvSpPr txBox="1"/>
      </cdr:nvSpPr>
      <cdr:spPr>
        <a:xfrm xmlns:a="http://schemas.openxmlformats.org/drawingml/2006/main">
          <a:off x="496743" y="1203614"/>
          <a:ext cx="4070928" cy="368011"/>
        </a:xfrm>
        <a:prstGeom xmlns:a="http://schemas.openxmlformats.org/drawingml/2006/main" prst="rect">
          <a:avLst/>
        </a:prstGeom>
        <a:solidFill xmlns:a="http://schemas.openxmlformats.org/drawingml/2006/main">
          <a:sysClr val="window" lastClr="FFFFFF"/>
        </a:solidFill>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de-DE" sz="1100"/>
            <a:t>- spring-loaded</a:t>
          </a:r>
          <a:r>
            <a:rPr lang="de-DE" sz="1100" baseline="0"/>
            <a:t> back-pressure-valve recommended</a:t>
          </a:r>
        </a:p>
      </cdr:txBody>
    </cdr:sp>
  </cdr:relSizeAnchor>
</c:userShapes>
</file>

<file path=xl/drawings/drawing8.xml><?xml version="1.0" encoding="utf-8"?>
<xdr:wsDr xmlns:xdr="http://schemas.openxmlformats.org/drawingml/2006/spreadsheetDrawing" xmlns:a="http://schemas.openxmlformats.org/drawingml/2006/main">
  <xdr:twoCellAnchor>
    <xdr:from>
      <xdr:col>7</xdr:col>
      <xdr:colOff>0</xdr:colOff>
      <xdr:row>149</xdr:row>
      <xdr:rowOff>42868</xdr:rowOff>
    </xdr:from>
    <xdr:to>
      <xdr:col>11</xdr:col>
      <xdr:colOff>257175</xdr:colOff>
      <xdr:row>166</xdr:row>
      <xdr:rowOff>61918</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738186</xdr:colOff>
      <xdr:row>152</xdr:row>
      <xdr:rowOff>14288</xdr:rowOff>
    </xdr:from>
    <xdr:to>
      <xdr:col>17</xdr:col>
      <xdr:colOff>348186</xdr:colOff>
      <xdr:row>172</xdr:row>
      <xdr:rowOff>159788</xdr:rowOff>
    </xdr:to>
    <xdr:graphicFrame macro="">
      <xdr:nvGraphicFramePr>
        <xdr:cNvPr id="8" name="Diagramm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0.33627</cdr:x>
      <cdr:y>0.6761</cdr:y>
    </cdr:from>
    <cdr:to>
      <cdr:x>0.78495</cdr:x>
      <cdr:y>0.76419</cdr:y>
    </cdr:to>
    <cdr:sp macro="" textlink="">
      <cdr:nvSpPr>
        <cdr:cNvPr id="2" name="Textfeld 1">
          <a:extLst xmlns:a="http://schemas.openxmlformats.org/drawingml/2006/main">
            <a:ext uri="{FF2B5EF4-FFF2-40B4-BE49-F238E27FC236}">
              <a16:creationId xmlns:a16="http://schemas.microsoft.com/office/drawing/2014/main" id="{C66B5418-3539-473E-A329-9F33E4E73BBF}"/>
            </a:ext>
          </a:extLst>
        </cdr:cNvPr>
        <cdr:cNvSpPr txBox="1"/>
      </cdr:nvSpPr>
      <cdr:spPr>
        <a:xfrm xmlns:a="http://schemas.openxmlformats.org/drawingml/2006/main">
          <a:off x="1150030" y="2287925"/>
          <a:ext cx="1534487" cy="29810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de-DE" sz="1100"/>
            <a:t>Feed</a:t>
          </a:r>
          <a:r>
            <a:rPr lang="de-DE" sz="1100" baseline="0"/>
            <a:t> Flow m³/hr</a:t>
          </a:r>
          <a:endParaRPr lang="de-DE" sz="1100"/>
        </a:p>
      </cdr:txBody>
    </cdr:sp>
  </cdr:relSizeAnchor>
</c:userShapes>
</file>

<file path=xl/persons/person.xml><?xml version="1.0" encoding="utf-8"?>
<personList xmlns="http://schemas.microsoft.com/office/spreadsheetml/2018/threadedcomments" xmlns:x="http://schemas.openxmlformats.org/spreadsheetml/2006/main">
  <person displayName="Tobias Schmucker" id="{1324D476-99F3-4771-A430-6CC0BF759084}" userId="1f7d84aa4a616210" providerId="Windows Live"/>
</personList>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solidFill>
            <a:schemeClr val="tx2"/>
          </a:solidFill>
        </a:ln>
      </a:spPr>
      <a:bodyPr vertOverflow="clip" rtlCol="0" anchor="ctr"/>
      <a:lstStyle>
        <a:defPPr algn="ctr">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X20" dT="2020-01-03T05:59:31.66" personId="{1324D476-99F3-4771-A430-6CC0BF759084}" id="{4E9606B2-2E9E-4687-921E-9464FB1A879A}">
    <text>awaiting test results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vmlDrawing" Target="../drawings/vmlDrawing2.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salinnova.com/" TargetMode="External"/><Relationship Id="rId1" Type="http://schemas.openxmlformats.org/officeDocument/2006/relationships/hyperlink" Target="http://www.salino.co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www.salinnova.com/" TargetMode="External"/><Relationship Id="rId2" Type="http://schemas.openxmlformats.org/officeDocument/2006/relationships/hyperlink" Target="http://www.salino.com/" TargetMode="External"/><Relationship Id="rId1" Type="http://schemas.openxmlformats.org/officeDocument/2006/relationships/printerSettings" Target="../printerSettings/printerSettings4.bin"/><Relationship Id="rId5" Type="http://schemas.openxmlformats.org/officeDocument/2006/relationships/drawing" Target="../drawings/drawing3.xml"/><Relationship Id="rId4"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pageSetUpPr fitToPage="1"/>
  </sheetPr>
  <dimension ref="A1:CH23"/>
  <sheetViews>
    <sheetView topLeftCell="A5" zoomScale="90" zoomScaleNormal="90" workbookViewId="0">
      <pane xSplit="8" ySplit="6" topLeftCell="K20" activePane="bottomRight" state="frozen"/>
      <selection activeCell="A5" sqref="A5"/>
      <selection pane="topRight" activeCell="I5" sqref="I5"/>
      <selection pane="bottomLeft" activeCell="A11" sqref="A11"/>
      <selection pane="bottomRight" activeCell="AB24" sqref="AB24"/>
    </sheetView>
  </sheetViews>
  <sheetFormatPr baseColWidth="10" defaultColWidth="11.44140625" defaultRowHeight="14.4" x14ac:dyDescent="0.3"/>
  <cols>
    <col min="1" max="1" width="9" style="216" customWidth="1"/>
    <col min="2" max="2" width="9" style="219" customWidth="1"/>
    <col min="3" max="6" width="4.33203125" style="217" customWidth="1"/>
    <col min="7" max="8" width="11.44140625" style="218"/>
    <col min="9" max="10" width="3.6640625" style="218" bestFit="1" customWidth="1"/>
    <col min="11" max="11" width="4.5546875" style="218" bestFit="1" customWidth="1"/>
    <col min="12" max="22" width="6.33203125" style="219" customWidth="1"/>
    <col min="23" max="23" width="6.33203125" style="218" customWidth="1"/>
    <col min="24" max="24" width="31.6640625" style="218" bestFit="1" customWidth="1"/>
    <col min="25" max="29" width="11.44140625" style="218"/>
    <col min="30" max="30" width="18.109375" style="220" customWidth="1"/>
    <col min="31" max="33" width="11.44140625" style="218"/>
    <col min="34" max="34" width="18.33203125" style="218" bestFit="1" customWidth="1"/>
    <col min="35" max="38" width="11.44140625" style="218"/>
    <col min="39" max="40" width="11.44140625" style="221"/>
    <col min="41" max="42" width="11.44140625" style="222"/>
    <col min="43" max="44" width="11.44140625" style="221"/>
    <col min="45" max="45" width="11.44140625" style="219"/>
    <col min="46" max="46" width="4.5546875" style="219" bestFit="1" customWidth="1"/>
    <col min="47" max="69" width="4.109375" style="219" customWidth="1"/>
    <col min="70" max="79" width="11.44140625" style="218"/>
    <col min="80" max="16384" width="11.44140625" style="219"/>
  </cols>
  <sheetData>
    <row r="1" spans="1:86" s="210" customFormat="1" ht="21" x14ac:dyDescent="0.4">
      <c r="A1" s="209" t="s">
        <v>478</v>
      </c>
      <c r="C1" s="211"/>
      <c r="D1" s="211"/>
      <c r="E1" s="211"/>
      <c r="F1" s="211"/>
      <c r="G1" s="212"/>
      <c r="H1" s="212"/>
      <c r="I1" s="212"/>
      <c r="J1" s="212"/>
      <c r="K1" s="212"/>
      <c r="W1" s="212"/>
      <c r="X1" s="212"/>
      <c r="Y1" s="212"/>
      <c r="Z1" s="212"/>
      <c r="AA1" s="212"/>
      <c r="AB1" s="212"/>
      <c r="AC1" s="212"/>
      <c r="AD1" s="213"/>
      <c r="AE1" s="212"/>
      <c r="AF1" s="212"/>
      <c r="AG1" s="212"/>
      <c r="AH1" s="212"/>
      <c r="AI1" s="212"/>
      <c r="AJ1" s="212"/>
      <c r="AK1" s="212"/>
      <c r="AL1" s="212"/>
      <c r="AM1" s="214"/>
      <c r="AN1" s="214"/>
      <c r="AO1" s="215"/>
      <c r="AP1" s="215"/>
      <c r="AQ1" s="214"/>
      <c r="AR1" s="214"/>
      <c r="BR1" s="212"/>
      <c r="BS1" s="212"/>
      <c r="BT1" s="212"/>
      <c r="BU1" s="212"/>
      <c r="BV1" s="212"/>
      <c r="BW1" s="212"/>
      <c r="BX1" s="212"/>
      <c r="BY1" s="212"/>
      <c r="BZ1" s="212"/>
      <c r="CA1" s="212"/>
    </row>
    <row r="3" spans="1:86" x14ac:dyDescent="0.3">
      <c r="A3" s="216" t="s">
        <v>479</v>
      </c>
      <c r="B3" s="384">
        <v>43753</v>
      </c>
      <c r="C3" s="384"/>
      <c r="D3" s="384"/>
    </row>
    <row r="5" spans="1:86" ht="45" customHeight="1" x14ac:dyDescent="0.3">
      <c r="A5" s="223"/>
      <c r="B5" s="224"/>
      <c r="C5" s="225"/>
      <c r="D5" s="225"/>
      <c r="E5" s="225"/>
      <c r="F5" s="225"/>
      <c r="G5" s="226"/>
      <c r="H5" s="226"/>
      <c r="I5" s="385" t="s">
        <v>480</v>
      </c>
      <c r="J5" s="386"/>
      <c r="K5" s="387"/>
      <c r="L5" s="382" t="s">
        <v>481</v>
      </c>
      <c r="M5" s="382"/>
      <c r="N5" s="382"/>
      <c r="O5" s="382"/>
      <c r="P5" s="382"/>
      <c r="Q5" s="382"/>
      <c r="R5" s="382"/>
      <c r="S5" s="382"/>
      <c r="T5" s="382"/>
      <c r="U5" s="382"/>
      <c r="V5" s="382"/>
      <c r="W5" s="382" t="s">
        <v>482</v>
      </c>
      <c r="X5" s="382"/>
      <c r="Y5" s="383" t="s">
        <v>483</v>
      </c>
      <c r="Z5" s="383"/>
      <c r="AA5" s="383"/>
      <c r="AB5" s="383"/>
      <c r="AC5" s="383"/>
      <c r="AD5" s="383"/>
      <c r="AE5" s="383"/>
      <c r="AF5" s="383"/>
      <c r="AG5" s="383"/>
      <c r="AH5" s="383"/>
      <c r="AI5" s="383"/>
      <c r="AJ5" s="383"/>
      <c r="AK5" s="383"/>
      <c r="AL5" s="383"/>
      <c r="AM5" s="225"/>
      <c r="AN5" s="225"/>
      <c r="AO5" s="227"/>
      <c r="AP5" s="227"/>
      <c r="AQ5" s="225"/>
      <c r="AR5" s="225"/>
      <c r="AS5" s="382" t="s">
        <v>484</v>
      </c>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226"/>
      <c r="BS5" s="226"/>
      <c r="BT5" s="226"/>
      <c r="BU5" s="226"/>
      <c r="BV5" s="226"/>
      <c r="BW5" s="226"/>
      <c r="BX5" s="226"/>
      <c r="BY5" s="226"/>
      <c r="BZ5" s="226"/>
      <c r="CA5" s="319"/>
      <c r="CB5" s="328"/>
      <c r="CC5" s="328"/>
      <c r="CD5" s="328"/>
      <c r="CE5" s="328"/>
      <c r="CF5" s="328"/>
      <c r="CG5" s="328"/>
      <c r="CH5" s="328"/>
    </row>
    <row r="6" spans="1:86" s="236" customFormat="1" ht="70.8" x14ac:dyDescent="0.35">
      <c r="A6" s="228" t="s">
        <v>485</v>
      </c>
      <c r="B6" s="228" t="s">
        <v>486</v>
      </c>
      <c r="C6" s="229" t="s">
        <v>487</v>
      </c>
      <c r="D6" s="229" t="s">
        <v>488</v>
      </c>
      <c r="E6" s="229" t="s">
        <v>489</v>
      </c>
      <c r="F6" s="229" t="s">
        <v>490</v>
      </c>
      <c r="G6" s="230" t="s">
        <v>491</v>
      </c>
      <c r="H6" s="230" t="s">
        <v>492</v>
      </c>
      <c r="I6" s="374" t="s">
        <v>493</v>
      </c>
      <c r="J6" s="375"/>
      <c r="K6" s="379"/>
      <c r="L6" s="231">
        <v>0.25</v>
      </c>
      <c r="M6" s="231">
        <v>0.3</v>
      </c>
      <c r="N6" s="231">
        <v>0.35</v>
      </c>
      <c r="O6" s="231">
        <v>0.4</v>
      </c>
      <c r="P6" s="231">
        <v>0.45</v>
      </c>
      <c r="Q6" s="231">
        <v>0.5</v>
      </c>
      <c r="R6" s="231">
        <v>0.55000000000000004</v>
      </c>
      <c r="S6" s="231">
        <v>0.6</v>
      </c>
      <c r="T6" s="231">
        <v>0.65</v>
      </c>
      <c r="U6" s="231">
        <v>0.7</v>
      </c>
      <c r="V6" s="231">
        <v>0.75</v>
      </c>
      <c r="W6" s="232" t="s">
        <v>494</v>
      </c>
      <c r="X6" s="232" t="s">
        <v>495</v>
      </c>
      <c r="Y6" s="373" t="s">
        <v>496</v>
      </c>
      <c r="Z6" s="373"/>
      <c r="AA6" s="230" t="s">
        <v>15</v>
      </c>
      <c r="AB6" s="374" t="s">
        <v>497</v>
      </c>
      <c r="AC6" s="375"/>
      <c r="AD6" s="375"/>
      <c r="AE6" s="379"/>
      <c r="AF6" s="374" t="s">
        <v>498</v>
      </c>
      <c r="AG6" s="375"/>
      <c r="AH6" s="379"/>
      <c r="AI6" s="230" t="s">
        <v>499</v>
      </c>
      <c r="AJ6" s="373" t="s">
        <v>500</v>
      </c>
      <c r="AK6" s="373"/>
      <c r="AL6" s="230" t="s">
        <v>501</v>
      </c>
      <c r="AM6" s="233"/>
      <c r="AN6" s="234"/>
      <c r="AO6" s="380" t="s">
        <v>502</v>
      </c>
      <c r="AP6" s="381"/>
      <c r="AQ6" s="233"/>
      <c r="AR6" s="317" t="s">
        <v>669</v>
      </c>
      <c r="AS6" s="230" t="s">
        <v>503</v>
      </c>
      <c r="AT6" s="235" t="s">
        <v>504</v>
      </c>
      <c r="AU6" s="235" t="s">
        <v>505</v>
      </c>
      <c r="AV6" s="235" t="s">
        <v>506</v>
      </c>
      <c r="AW6" s="235" t="s">
        <v>507</v>
      </c>
      <c r="AX6" s="235" t="s">
        <v>508</v>
      </c>
      <c r="AY6" s="235" t="s">
        <v>509</v>
      </c>
      <c r="AZ6" s="235" t="s">
        <v>510</v>
      </c>
      <c r="BA6" s="235" t="s">
        <v>511</v>
      </c>
      <c r="BB6" s="235" t="s">
        <v>512</v>
      </c>
      <c r="BC6" s="235" t="s">
        <v>513</v>
      </c>
      <c r="BD6" s="235" t="s">
        <v>514</v>
      </c>
      <c r="BE6" s="235" t="s">
        <v>515</v>
      </c>
      <c r="BF6" s="235" t="s">
        <v>516</v>
      </c>
      <c r="BG6" s="235" t="s">
        <v>517</v>
      </c>
      <c r="BH6" s="235" t="s">
        <v>518</v>
      </c>
      <c r="BI6" s="235" t="s">
        <v>519</v>
      </c>
      <c r="BJ6" s="235" t="s">
        <v>520</v>
      </c>
      <c r="BK6" s="235" t="s">
        <v>521</v>
      </c>
      <c r="BL6" s="235" t="s">
        <v>522</v>
      </c>
      <c r="BM6" s="235" t="s">
        <v>523</v>
      </c>
      <c r="BN6" s="235" t="s">
        <v>524</v>
      </c>
      <c r="BO6" s="235" t="s">
        <v>525</v>
      </c>
      <c r="BP6" s="235" t="s">
        <v>526</v>
      </c>
      <c r="BQ6" s="235" t="s">
        <v>527</v>
      </c>
      <c r="BR6" s="373" t="s">
        <v>528</v>
      </c>
      <c r="BS6" s="373"/>
      <c r="BT6" s="373"/>
      <c r="BU6" s="230" t="s">
        <v>529</v>
      </c>
      <c r="BV6" s="374" t="s">
        <v>530</v>
      </c>
      <c r="BW6" s="375"/>
      <c r="BX6" s="375"/>
      <c r="BY6" s="375"/>
      <c r="BZ6" s="375"/>
      <c r="CA6" s="375"/>
      <c r="CB6" s="240"/>
      <c r="CC6" s="240"/>
      <c r="CD6" s="240"/>
      <c r="CE6" s="240"/>
      <c r="CF6" s="240"/>
      <c r="CG6" s="240"/>
      <c r="CH6" s="240"/>
    </row>
    <row r="7" spans="1:86" s="236" customFormat="1" ht="72" x14ac:dyDescent="0.3">
      <c r="A7" s="223"/>
      <c r="B7" s="223"/>
      <c r="C7" s="233"/>
      <c r="D7" s="233"/>
      <c r="E7" s="233"/>
      <c r="F7" s="233"/>
      <c r="G7" s="230" t="s">
        <v>531</v>
      </c>
      <c r="H7" s="230" t="s">
        <v>531</v>
      </c>
      <c r="I7" s="229" t="s">
        <v>532</v>
      </c>
      <c r="J7" s="229" t="s">
        <v>533</v>
      </c>
      <c r="K7" s="229" t="s">
        <v>534</v>
      </c>
      <c r="L7" s="231"/>
      <c r="M7" s="231"/>
      <c r="N7" s="231"/>
      <c r="O7" s="231"/>
      <c r="P7" s="231"/>
      <c r="Q7" s="231"/>
      <c r="R7" s="231"/>
      <c r="S7" s="231"/>
      <c r="T7" s="231"/>
      <c r="U7" s="231"/>
      <c r="V7" s="231"/>
      <c r="W7" s="232"/>
      <c r="X7" s="232"/>
      <c r="Y7" s="230" t="s">
        <v>535</v>
      </c>
      <c r="Z7" s="230" t="s">
        <v>536</v>
      </c>
      <c r="AA7" s="230"/>
      <c r="AB7" s="376" t="s">
        <v>597</v>
      </c>
      <c r="AC7" s="377"/>
      <c r="AD7" s="378"/>
      <c r="AE7" s="230" t="s">
        <v>537</v>
      </c>
      <c r="AF7" s="230" t="s">
        <v>538</v>
      </c>
      <c r="AG7" s="230" t="s">
        <v>539</v>
      </c>
      <c r="AH7" s="230" t="s">
        <v>540</v>
      </c>
      <c r="AI7" s="230" t="s">
        <v>541</v>
      </c>
      <c r="AJ7" s="230" t="s">
        <v>538</v>
      </c>
      <c r="AK7" s="230" t="s">
        <v>537</v>
      </c>
      <c r="AL7" s="230" t="s">
        <v>537</v>
      </c>
      <c r="AM7" s="237" t="s">
        <v>542</v>
      </c>
      <c r="AN7" s="237" t="s">
        <v>543</v>
      </c>
      <c r="AO7" s="238" t="s">
        <v>544</v>
      </c>
      <c r="AP7" s="238" t="s">
        <v>545</v>
      </c>
      <c r="AQ7" s="239" t="s">
        <v>546</v>
      </c>
      <c r="AR7" s="239"/>
      <c r="AS7" s="240" t="s">
        <v>537</v>
      </c>
      <c r="AT7" s="241">
        <v>0.75</v>
      </c>
      <c r="AU7" s="241">
        <v>1.1000000000000001</v>
      </c>
      <c r="AV7" s="241">
        <v>1.5</v>
      </c>
      <c r="AW7" s="241">
        <v>2.5</v>
      </c>
      <c r="AX7" s="241">
        <v>3</v>
      </c>
      <c r="AY7" s="241">
        <v>4</v>
      </c>
      <c r="AZ7" s="241">
        <v>5.5</v>
      </c>
      <c r="BA7" s="241">
        <v>7.5</v>
      </c>
      <c r="BB7" s="241">
        <v>11</v>
      </c>
      <c r="BC7" s="241">
        <v>15</v>
      </c>
      <c r="BD7" s="241">
        <v>18.5</v>
      </c>
      <c r="BE7" s="241">
        <v>22</v>
      </c>
      <c r="BF7" s="241">
        <v>30</v>
      </c>
      <c r="BG7" s="241">
        <v>37</v>
      </c>
      <c r="BH7" s="241">
        <v>45</v>
      </c>
      <c r="BI7" s="241">
        <v>55</v>
      </c>
      <c r="BJ7" s="241">
        <v>75</v>
      </c>
      <c r="BK7" s="241">
        <v>90</v>
      </c>
      <c r="BL7" s="242">
        <v>110</v>
      </c>
      <c r="BM7" s="242">
        <v>132</v>
      </c>
      <c r="BN7" s="242">
        <v>160</v>
      </c>
      <c r="BO7" s="242">
        <v>200</v>
      </c>
      <c r="BP7" s="242">
        <v>250</v>
      </c>
      <c r="BQ7" s="242">
        <v>315</v>
      </c>
      <c r="BR7" s="230" t="s">
        <v>547</v>
      </c>
      <c r="BS7" s="230" t="s">
        <v>548</v>
      </c>
      <c r="BT7" s="230" t="s">
        <v>549</v>
      </c>
      <c r="BU7" s="230" t="s">
        <v>550</v>
      </c>
      <c r="BV7" s="230" t="s">
        <v>551</v>
      </c>
      <c r="BW7" s="230" t="s">
        <v>552</v>
      </c>
      <c r="BX7" s="230" t="s">
        <v>553</v>
      </c>
      <c r="BY7" s="230" t="s">
        <v>554</v>
      </c>
      <c r="BZ7" s="230" t="s">
        <v>555</v>
      </c>
      <c r="CA7" s="318" t="s">
        <v>556</v>
      </c>
      <c r="CB7" s="240" t="s">
        <v>652</v>
      </c>
      <c r="CC7" s="240" t="s">
        <v>653</v>
      </c>
      <c r="CD7" s="240" t="s">
        <v>654</v>
      </c>
      <c r="CE7" s="240" t="s">
        <v>647</v>
      </c>
      <c r="CF7" s="240" t="s">
        <v>648</v>
      </c>
      <c r="CG7" s="240" t="s">
        <v>649</v>
      </c>
      <c r="CH7" s="240" t="s">
        <v>679</v>
      </c>
    </row>
    <row r="8" spans="1:86" s="236" customFormat="1" x14ac:dyDescent="0.3">
      <c r="A8" s="223" t="s">
        <v>557</v>
      </c>
      <c r="B8" s="223"/>
      <c r="C8" s="233"/>
      <c r="D8" s="233"/>
      <c r="E8" s="233"/>
      <c r="F8" s="233"/>
      <c r="G8" s="230"/>
      <c r="H8" s="230"/>
      <c r="I8" s="229"/>
      <c r="J8" s="229"/>
      <c r="K8" s="229"/>
      <c r="L8" s="231"/>
      <c r="M8" s="231"/>
      <c r="N8" s="231"/>
      <c r="O8" s="231"/>
      <c r="P8" s="231"/>
      <c r="Q8" s="231"/>
      <c r="R8" s="231"/>
      <c r="S8" s="231"/>
      <c r="T8" s="231"/>
      <c r="U8" s="231"/>
      <c r="V8" s="231"/>
      <c r="W8" s="232"/>
      <c r="X8" s="232"/>
      <c r="Y8" s="230"/>
      <c r="Z8" s="230"/>
      <c r="AA8" s="230"/>
      <c r="AB8" s="243"/>
      <c r="AC8" s="244"/>
      <c r="AD8" s="245"/>
      <c r="AE8" s="230"/>
      <c r="AF8" s="230"/>
      <c r="AG8" s="230"/>
      <c r="AH8" s="230"/>
      <c r="AI8" s="230"/>
      <c r="AJ8" s="230"/>
      <c r="AK8" s="230"/>
      <c r="AL8" s="230"/>
      <c r="AM8" s="237"/>
      <c r="AN8" s="237"/>
      <c r="AO8" s="238"/>
      <c r="AP8" s="238"/>
      <c r="AQ8" s="239"/>
      <c r="AR8" s="239"/>
      <c r="AS8" s="240" t="s">
        <v>558</v>
      </c>
      <c r="AT8" s="246">
        <v>0.78</v>
      </c>
      <c r="AU8" s="246">
        <v>0.81</v>
      </c>
      <c r="AV8" s="246">
        <v>0.82</v>
      </c>
      <c r="AW8" s="246">
        <v>0.84</v>
      </c>
      <c r="AX8" s="246">
        <v>0.85</v>
      </c>
      <c r="AY8" s="246">
        <v>0.86</v>
      </c>
      <c r="AZ8" s="246">
        <v>0.88</v>
      </c>
      <c r="BA8" s="246">
        <v>0.89</v>
      </c>
      <c r="BB8" s="246">
        <v>0.9</v>
      </c>
      <c r="BC8" s="246">
        <v>0.91</v>
      </c>
      <c r="BD8" s="246">
        <v>0.91</v>
      </c>
      <c r="BE8" s="246">
        <v>0.92</v>
      </c>
      <c r="BF8" s="246">
        <v>0.92</v>
      </c>
      <c r="BG8" s="246">
        <v>0.93</v>
      </c>
      <c r="BH8" s="246">
        <v>0.93</v>
      </c>
      <c r="BI8" s="246">
        <v>0.94</v>
      </c>
      <c r="BJ8" s="246">
        <v>0.94</v>
      </c>
      <c r="BK8" s="246">
        <v>0.94</v>
      </c>
      <c r="BL8" s="246">
        <v>0.95</v>
      </c>
      <c r="BM8" s="246">
        <v>0.95</v>
      </c>
      <c r="BN8" s="246">
        <v>0.95</v>
      </c>
      <c r="BO8" s="246">
        <v>0.95</v>
      </c>
      <c r="BP8" s="246">
        <v>0.95</v>
      </c>
      <c r="BQ8" s="246">
        <v>0.95</v>
      </c>
      <c r="BR8" s="230"/>
      <c r="BS8" s="230"/>
      <c r="BT8" s="230"/>
      <c r="BU8" s="230"/>
      <c r="BV8" s="230"/>
      <c r="BW8" s="230"/>
      <c r="BX8" s="230"/>
      <c r="BY8" s="230"/>
      <c r="BZ8" s="230"/>
      <c r="CA8" s="318"/>
      <c r="CB8" s="240">
        <v>80</v>
      </c>
      <c r="CC8" s="240">
        <v>120</v>
      </c>
      <c r="CD8" s="240"/>
      <c r="CE8" s="240"/>
      <c r="CF8" s="240"/>
      <c r="CG8" s="240"/>
      <c r="CH8" s="240"/>
    </row>
    <row r="9" spans="1:86" s="216" customFormat="1" ht="43.2" x14ac:dyDescent="0.3">
      <c r="A9" s="223"/>
      <c r="B9" s="223"/>
      <c r="C9" s="233"/>
      <c r="D9" s="233"/>
      <c r="E9" s="233"/>
      <c r="F9" s="233"/>
      <c r="G9" s="230"/>
      <c r="H9" s="230"/>
      <c r="I9" s="229" t="s">
        <v>559</v>
      </c>
      <c r="J9" s="229" t="s">
        <v>560</v>
      </c>
      <c r="K9" s="229" t="s">
        <v>560</v>
      </c>
      <c r="L9" s="231"/>
      <c r="M9" s="231"/>
      <c r="N9" s="231"/>
      <c r="O9" s="231"/>
      <c r="P9" s="231"/>
      <c r="Q9" s="231"/>
      <c r="R9" s="231"/>
      <c r="S9" s="231"/>
      <c r="T9" s="231"/>
      <c r="U9" s="231"/>
      <c r="V9" s="231"/>
      <c r="W9" s="232"/>
      <c r="X9" s="232"/>
      <c r="Y9" s="247" t="s">
        <v>561</v>
      </c>
      <c r="Z9" s="247" t="s">
        <v>561</v>
      </c>
      <c r="AA9" s="247" t="s">
        <v>602</v>
      </c>
      <c r="AB9" s="248" t="s">
        <v>562</v>
      </c>
      <c r="AC9" s="230" t="s">
        <v>563</v>
      </c>
      <c r="AD9" s="240" t="s">
        <v>596</v>
      </c>
      <c r="AE9" s="247" t="s">
        <v>116</v>
      </c>
      <c r="AF9" s="247" t="s">
        <v>116</v>
      </c>
      <c r="AG9" s="247" t="s">
        <v>116</v>
      </c>
      <c r="AH9" s="247" t="s">
        <v>116</v>
      </c>
      <c r="AI9" s="247"/>
      <c r="AJ9" s="247"/>
      <c r="AK9" s="247"/>
      <c r="AL9" s="247"/>
      <c r="AM9" s="249"/>
      <c r="AN9" s="249"/>
      <c r="AO9" s="250"/>
      <c r="AP9" s="250"/>
      <c r="AQ9" s="249"/>
      <c r="AR9" s="249"/>
      <c r="AS9" s="251" t="s">
        <v>564</v>
      </c>
      <c r="AT9" s="252"/>
      <c r="AU9" s="252"/>
      <c r="AV9" s="252"/>
      <c r="AW9" s="252"/>
      <c r="AX9" s="252"/>
      <c r="AY9" s="252"/>
      <c r="AZ9" s="252"/>
      <c r="BA9" s="252"/>
      <c r="BB9" s="252"/>
      <c r="BC9" s="252"/>
      <c r="BD9" s="252"/>
      <c r="BE9" s="252"/>
      <c r="BF9" s="252"/>
      <c r="BG9" s="252"/>
      <c r="BH9" s="252"/>
      <c r="BI9" s="252"/>
      <c r="BJ9" s="252"/>
      <c r="BK9" s="252"/>
      <c r="BL9" s="252"/>
      <c r="BM9" s="252"/>
      <c r="BN9" s="252"/>
      <c r="BO9" s="252"/>
      <c r="BP9" s="252"/>
      <c r="BQ9" s="252"/>
      <c r="BR9" s="247" t="s">
        <v>560</v>
      </c>
      <c r="BS9" s="247" t="s">
        <v>560</v>
      </c>
      <c r="BT9" s="230" t="s">
        <v>565</v>
      </c>
      <c r="BU9" s="230"/>
      <c r="BV9" s="247"/>
      <c r="BW9" s="247"/>
      <c r="BX9" s="247"/>
      <c r="BY9" s="247"/>
      <c r="BZ9" s="247"/>
      <c r="CA9" s="325"/>
      <c r="CB9" s="253"/>
      <c r="CC9" s="253"/>
      <c r="CD9" s="253"/>
      <c r="CE9" s="253"/>
      <c r="CF9" s="253"/>
      <c r="CG9" s="253"/>
      <c r="CH9" s="253" t="s">
        <v>680</v>
      </c>
    </row>
    <row r="10" spans="1:86" s="216" customFormat="1" x14ac:dyDescent="0.3">
      <c r="A10" s="223"/>
      <c r="B10" s="223"/>
      <c r="C10" s="233"/>
      <c r="D10" s="233"/>
      <c r="E10" s="233"/>
      <c r="F10" s="233"/>
      <c r="G10" s="230"/>
      <c r="H10" s="230"/>
      <c r="I10" s="229"/>
      <c r="J10" s="229"/>
      <c r="K10" s="229"/>
      <c r="L10" s="231"/>
      <c r="M10" s="231"/>
      <c r="N10" s="231"/>
      <c r="O10" s="231"/>
      <c r="P10" s="231"/>
      <c r="Q10" s="231"/>
      <c r="R10" s="231"/>
      <c r="S10" s="231"/>
      <c r="T10" s="231"/>
      <c r="U10" s="231"/>
      <c r="V10" s="231"/>
      <c r="W10" s="232"/>
      <c r="X10" s="232"/>
      <c r="Y10" s="247"/>
      <c r="Z10" s="247"/>
      <c r="AA10" s="247"/>
      <c r="AB10" s="248"/>
      <c r="AC10" s="247" t="s">
        <v>116</v>
      </c>
      <c r="AD10" s="240"/>
      <c r="AE10" s="247"/>
      <c r="AF10" s="247"/>
      <c r="AG10" s="247"/>
      <c r="AH10" s="247"/>
      <c r="AI10" s="247"/>
      <c r="AJ10" s="247"/>
      <c r="AK10" s="247"/>
      <c r="AL10" s="247"/>
      <c r="AM10" s="249"/>
      <c r="AN10" s="249"/>
      <c r="AO10" s="250"/>
      <c r="AP10" s="250"/>
      <c r="AQ10" s="249"/>
      <c r="AR10" s="249"/>
      <c r="AS10" s="240"/>
      <c r="AT10" s="253"/>
      <c r="AU10" s="253"/>
      <c r="AV10" s="253"/>
      <c r="AW10" s="253"/>
      <c r="AX10" s="253"/>
      <c r="AY10" s="253"/>
      <c r="AZ10" s="253"/>
      <c r="BA10" s="253"/>
      <c r="BB10" s="253"/>
      <c r="BC10" s="253"/>
      <c r="BD10" s="253"/>
      <c r="BE10" s="253"/>
      <c r="BF10" s="253"/>
      <c r="BG10" s="253"/>
      <c r="BH10" s="253"/>
      <c r="BI10" s="253"/>
      <c r="BJ10" s="253"/>
      <c r="BK10" s="253"/>
      <c r="BL10" s="253"/>
      <c r="BM10" s="253"/>
      <c r="BN10" s="253"/>
      <c r="BO10" s="253"/>
      <c r="BP10" s="253"/>
      <c r="BQ10" s="253"/>
      <c r="BR10" s="247"/>
      <c r="BS10" s="247"/>
      <c r="BT10" s="230"/>
      <c r="BU10" s="230"/>
      <c r="BV10" s="247"/>
      <c r="BW10" s="247"/>
      <c r="BX10" s="247"/>
      <c r="BY10" s="247"/>
      <c r="BZ10" s="247"/>
      <c r="CA10" s="325"/>
      <c r="CB10" s="253"/>
      <c r="CC10" s="253"/>
      <c r="CD10" s="253"/>
      <c r="CE10" s="253"/>
      <c r="CF10" s="253"/>
      <c r="CG10" s="253"/>
      <c r="CH10" s="253"/>
    </row>
    <row r="11" spans="1:86" ht="16.95" customHeight="1" x14ac:dyDescent="0.3">
      <c r="A11" s="254">
        <v>1</v>
      </c>
      <c r="B11" s="255">
        <f>A11+1</f>
        <v>2</v>
      </c>
      <c r="C11" s="255">
        <f t="shared" ref="C11:BN11" si="0">B11+1</f>
        <v>3</v>
      </c>
      <c r="D11" s="255">
        <f t="shared" si="0"/>
        <v>4</v>
      </c>
      <c r="E11" s="255">
        <f t="shared" si="0"/>
        <v>5</v>
      </c>
      <c r="F11" s="255">
        <f t="shared" si="0"/>
        <v>6</v>
      </c>
      <c r="G11" s="255">
        <f t="shared" si="0"/>
        <v>7</v>
      </c>
      <c r="H11" s="255">
        <f t="shared" si="0"/>
        <v>8</v>
      </c>
      <c r="I11" s="255">
        <f t="shared" si="0"/>
        <v>9</v>
      </c>
      <c r="J11" s="255">
        <f t="shared" si="0"/>
        <v>10</v>
      </c>
      <c r="K11" s="255">
        <f t="shared" si="0"/>
        <v>11</v>
      </c>
      <c r="L11" s="255">
        <f t="shared" si="0"/>
        <v>12</v>
      </c>
      <c r="M11" s="255">
        <f t="shared" si="0"/>
        <v>13</v>
      </c>
      <c r="N11" s="255">
        <f t="shared" si="0"/>
        <v>14</v>
      </c>
      <c r="O11" s="255">
        <f t="shared" si="0"/>
        <v>15</v>
      </c>
      <c r="P11" s="255">
        <f t="shared" si="0"/>
        <v>16</v>
      </c>
      <c r="Q11" s="255">
        <f t="shared" si="0"/>
        <v>17</v>
      </c>
      <c r="R11" s="255">
        <f t="shared" si="0"/>
        <v>18</v>
      </c>
      <c r="S11" s="255">
        <f t="shared" si="0"/>
        <v>19</v>
      </c>
      <c r="T11" s="255">
        <f t="shared" si="0"/>
        <v>20</v>
      </c>
      <c r="U11" s="255">
        <f t="shared" si="0"/>
        <v>21</v>
      </c>
      <c r="V11" s="255">
        <f t="shared" si="0"/>
        <v>22</v>
      </c>
      <c r="W11" s="255">
        <f t="shared" si="0"/>
        <v>23</v>
      </c>
      <c r="X11" s="255">
        <f t="shared" si="0"/>
        <v>24</v>
      </c>
      <c r="Y11" s="255">
        <f t="shared" si="0"/>
        <v>25</v>
      </c>
      <c r="Z11" s="255">
        <f t="shared" si="0"/>
        <v>26</v>
      </c>
      <c r="AA11" s="255">
        <f t="shared" si="0"/>
        <v>27</v>
      </c>
      <c r="AB11" s="255">
        <f t="shared" si="0"/>
        <v>28</v>
      </c>
      <c r="AC11" s="255">
        <f t="shared" si="0"/>
        <v>29</v>
      </c>
      <c r="AD11" s="255">
        <f t="shared" si="0"/>
        <v>30</v>
      </c>
      <c r="AE11" s="255">
        <f t="shared" si="0"/>
        <v>31</v>
      </c>
      <c r="AF11" s="255">
        <f t="shared" si="0"/>
        <v>32</v>
      </c>
      <c r="AG11" s="255">
        <f t="shared" si="0"/>
        <v>33</v>
      </c>
      <c r="AH11" s="255">
        <f t="shared" si="0"/>
        <v>34</v>
      </c>
      <c r="AI11" s="255">
        <f t="shared" si="0"/>
        <v>35</v>
      </c>
      <c r="AJ11" s="255">
        <f t="shared" si="0"/>
        <v>36</v>
      </c>
      <c r="AK11" s="255">
        <f t="shared" si="0"/>
        <v>37</v>
      </c>
      <c r="AL11" s="255">
        <f t="shared" si="0"/>
        <v>38</v>
      </c>
      <c r="AM11" s="255">
        <f t="shared" si="0"/>
        <v>39</v>
      </c>
      <c r="AN11" s="255">
        <f t="shared" si="0"/>
        <v>40</v>
      </c>
      <c r="AO11" s="255">
        <f t="shared" si="0"/>
        <v>41</v>
      </c>
      <c r="AP11" s="255">
        <f t="shared" si="0"/>
        <v>42</v>
      </c>
      <c r="AQ11" s="255">
        <f t="shared" si="0"/>
        <v>43</v>
      </c>
      <c r="AR11" s="255">
        <f t="shared" si="0"/>
        <v>44</v>
      </c>
      <c r="AS11" s="255">
        <f t="shared" si="0"/>
        <v>45</v>
      </c>
      <c r="AT11" s="255">
        <f t="shared" si="0"/>
        <v>46</v>
      </c>
      <c r="AU11" s="255">
        <f t="shared" si="0"/>
        <v>47</v>
      </c>
      <c r="AV11" s="255">
        <f t="shared" si="0"/>
        <v>48</v>
      </c>
      <c r="AW11" s="255">
        <f t="shared" si="0"/>
        <v>49</v>
      </c>
      <c r="AX11" s="255">
        <f t="shared" si="0"/>
        <v>50</v>
      </c>
      <c r="AY11" s="255">
        <f t="shared" si="0"/>
        <v>51</v>
      </c>
      <c r="AZ11" s="255">
        <f t="shared" si="0"/>
        <v>52</v>
      </c>
      <c r="BA11" s="255">
        <f t="shared" si="0"/>
        <v>53</v>
      </c>
      <c r="BB11" s="255">
        <f t="shared" si="0"/>
        <v>54</v>
      </c>
      <c r="BC11" s="255">
        <f t="shared" si="0"/>
        <v>55</v>
      </c>
      <c r="BD11" s="255">
        <f t="shared" si="0"/>
        <v>56</v>
      </c>
      <c r="BE11" s="255">
        <f t="shared" si="0"/>
        <v>57</v>
      </c>
      <c r="BF11" s="255">
        <f t="shared" si="0"/>
        <v>58</v>
      </c>
      <c r="BG11" s="255">
        <f t="shared" si="0"/>
        <v>59</v>
      </c>
      <c r="BH11" s="255">
        <f t="shared" si="0"/>
        <v>60</v>
      </c>
      <c r="BI11" s="255">
        <f t="shared" si="0"/>
        <v>61</v>
      </c>
      <c r="BJ11" s="255">
        <f t="shared" si="0"/>
        <v>62</v>
      </c>
      <c r="BK11" s="255">
        <f t="shared" si="0"/>
        <v>63</v>
      </c>
      <c r="BL11" s="255">
        <f t="shared" si="0"/>
        <v>64</v>
      </c>
      <c r="BM11" s="255">
        <f t="shared" si="0"/>
        <v>65</v>
      </c>
      <c r="BN11" s="255">
        <f t="shared" si="0"/>
        <v>66</v>
      </c>
      <c r="BO11" s="255">
        <f t="shared" ref="BO11:CH11" si="1">BN11+1</f>
        <v>67</v>
      </c>
      <c r="BP11" s="255">
        <f t="shared" si="1"/>
        <v>68</v>
      </c>
      <c r="BQ11" s="255">
        <f t="shared" si="1"/>
        <v>69</v>
      </c>
      <c r="BR11" s="255">
        <f t="shared" si="1"/>
        <v>70</v>
      </c>
      <c r="BS11" s="255">
        <f t="shared" si="1"/>
        <v>71</v>
      </c>
      <c r="BT11" s="255">
        <f t="shared" si="1"/>
        <v>72</v>
      </c>
      <c r="BU11" s="255">
        <f t="shared" si="1"/>
        <v>73</v>
      </c>
      <c r="BV11" s="255">
        <f t="shared" si="1"/>
        <v>74</v>
      </c>
      <c r="BW11" s="255">
        <f t="shared" si="1"/>
        <v>75</v>
      </c>
      <c r="BX11" s="255">
        <f t="shared" si="1"/>
        <v>76</v>
      </c>
      <c r="BY11" s="255">
        <f t="shared" si="1"/>
        <v>77</v>
      </c>
      <c r="BZ11" s="255">
        <f t="shared" si="1"/>
        <v>78</v>
      </c>
      <c r="CA11" s="255">
        <f t="shared" si="1"/>
        <v>79</v>
      </c>
      <c r="CB11" s="329">
        <f t="shared" si="1"/>
        <v>80</v>
      </c>
      <c r="CC11" s="329">
        <f t="shared" si="1"/>
        <v>81</v>
      </c>
      <c r="CD11" s="329">
        <f t="shared" si="1"/>
        <v>82</v>
      </c>
      <c r="CE11" s="329">
        <f t="shared" si="1"/>
        <v>83</v>
      </c>
      <c r="CF11" s="329">
        <f t="shared" si="1"/>
        <v>84</v>
      </c>
      <c r="CG11" s="329">
        <f t="shared" si="1"/>
        <v>85</v>
      </c>
      <c r="CH11" s="329">
        <f t="shared" si="1"/>
        <v>86</v>
      </c>
    </row>
    <row r="12" spans="1:86" ht="46.5" customHeight="1" x14ac:dyDescent="0.3">
      <c r="A12" s="256">
        <v>5</v>
      </c>
      <c r="B12" s="257"/>
      <c r="C12" s="225" t="s">
        <v>566</v>
      </c>
      <c r="D12" s="225"/>
      <c r="E12" s="258"/>
      <c r="F12" s="258"/>
      <c r="G12" s="225">
        <v>6</v>
      </c>
      <c r="H12" s="225">
        <v>3</v>
      </c>
      <c r="I12" s="225">
        <v>5</v>
      </c>
      <c r="J12" s="225"/>
      <c r="K12" s="225"/>
      <c r="L12" s="259">
        <v>0.25</v>
      </c>
      <c r="M12" s="260"/>
      <c r="N12" s="259">
        <v>0.35</v>
      </c>
      <c r="O12" s="260"/>
      <c r="P12" s="260"/>
      <c r="Q12" s="261"/>
      <c r="R12" s="261"/>
      <c r="S12" s="261"/>
      <c r="T12" s="261"/>
      <c r="U12" s="261"/>
      <c r="V12" s="261"/>
      <c r="W12" s="262">
        <v>600</v>
      </c>
      <c r="X12" s="262">
        <v>1750</v>
      </c>
      <c r="Y12" s="262">
        <v>2</v>
      </c>
      <c r="Z12" s="262">
        <v>50</v>
      </c>
      <c r="AA12" s="284">
        <v>50000</v>
      </c>
      <c r="AB12" s="263">
        <v>0.12</v>
      </c>
      <c r="AC12" s="225">
        <v>2.5</v>
      </c>
      <c r="AD12" s="281">
        <v>0.1</v>
      </c>
      <c r="AE12" s="225"/>
      <c r="AF12" s="262">
        <v>20</v>
      </c>
      <c r="AG12" s="262">
        <v>80</v>
      </c>
      <c r="AH12" s="264">
        <v>120</v>
      </c>
      <c r="AI12" s="265" t="s">
        <v>567</v>
      </c>
      <c r="AJ12" s="262">
        <v>2</v>
      </c>
      <c r="AK12" s="262">
        <v>4</v>
      </c>
      <c r="AL12" s="262">
        <v>0.75</v>
      </c>
      <c r="AM12" s="227">
        <v>0.91</v>
      </c>
      <c r="AN12" s="227">
        <v>0.91</v>
      </c>
      <c r="AO12" s="227">
        <v>0.9</v>
      </c>
      <c r="AP12" s="227">
        <v>0.9</v>
      </c>
      <c r="AQ12" s="227">
        <v>0.94</v>
      </c>
      <c r="AR12" s="227">
        <v>0.84</v>
      </c>
      <c r="AS12" s="274">
        <v>0.2</v>
      </c>
      <c r="AT12" s="266">
        <f>AT8</f>
        <v>0.78</v>
      </c>
      <c r="AU12" s="266">
        <f t="shared" ref="AU12:BQ12" si="2">AU8</f>
        <v>0.81</v>
      </c>
      <c r="AV12" s="267">
        <f t="shared" si="2"/>
        <v>0.82</v>
      </c>
      <c r="AW12" s="267">
        <f t="shared" si="2"/>
        <v>0.84</v>
      </c>
      <c r="AX12" s="267">
        <f t="shared" si="2"/>
        <v>0.85</v>
      </c>
      <c r="AY12" s="267">
        <f t="shared" si="2"/>
        <v>0.86</v>
      </c>
      <c r="AZ12" s="267">
        <f t="shared" si="2"/>
        <v>0.88</v>
      </c>
      <c r="BA12" s="266">
        <f t="shared" si="2"/>
        <v>0.89</v>
      </c>
      <c r="BB12" s="266">
        <f t="shared" si="2"/>
        <v>0.9</v>
      </c>
      <c r="BC12" s="266">
        <f t="shared" si="2"/>
        <v>0.91</v>
      </c>
      <c r="BD12" s="266">
        <f t="shared" si="2"/>
        <v>0.91</v>
      </c>
      <c r="BE12" s="266">
        <f t="shared" si="2"/>
        <v>0.92</v>
      </c>
      <c r="BF12" s="266">
        <f t="shared" si="2"/>
        <v>0.92</v>
      </c>
      <c r="BG12" s="266">
        <f t="shared" si="2"/>
        <v>0.93</v>
      </c>
      <c r="BH12" s="266">
        <f t="shared" si="2"/>
        <v>0.93</v>
      </c>
      <c r="BI12" s="266">
        <f t="shared" si="2"/>
        <v>0.94</v>
      </c>
      <c r="BJ12" s="266">
        <f t="shared" si="2"/>
        <v>0.94</v>
      </c>
      <c r="BK12" s="266">
        <f t="shared" si="2"/>
        <v>0.94</v>
      </c>
      <c r="BL12" s="266">
        <f t="shared" si="2"/>
        <v>0.95</v>
      </c>
      <c r="BM12" s="266">
        <f t="shared" si="2"/>
        <v>0.95</v>
      </c>
      <c r="BN12" s="266">
        <f t="shared" si="2"/>
        <v>0.95</v>
      </c>
      <c r="BO12" s="266">
        <f t="shared" si="2"/>
        <v>0.95</v>
      </c>
      <c r="BP12" s="266">
        <f t="shared" si="2"/>
        <v>0.95</v>
      </c>
      <c r="BQ12" s="266">
        <f t="shared" si="2"/>
        <v>0.95</v>
      </c>
      <c r="BR12" s="225">
        <v>34</v>
      </c>
      <c r="BS12" s="225">
        <v>8.98</v>
      </c>
      <c r="BT12" s="225" t="s">
        <v>568</v>
      </c>
      <c r="BU12" s="225" t="s">
        <v>569</v>
      </c>
      <c r="BV12" s="225" t="s">
        <v>570</v>
      </c>
      <c r="BW12" s="225" t="s">
        <v>570</v>
      </c>
      <c r="BX12" s="225" t="s">
        <v>570</v>
      </c>
      <c r="BY12" s="225" t="s">
        <v>570</v>
      </c>
      <c r="BZ12" s="225" t="s">
        <v>571</v>
      </c>
      <c r="CA12" s="326" t="s">
        <v>571</v>
      </c>
      <c r="CB12" s="328"/>
      <c r="CC12" s="328"/>
      <c r="CD12" s="328"/>
      <c r="CE12" s="328"/>
      <c r="CF12" s="328"/>
      <c r="CG12" s="330" t="s">
        <v>659</v>
      </c>
      <c r="CH12" s="330">
        <v>12.7</v>
      </c>
    </row>
    <row r="13" spans="1:86" s="221" customFormat="1" ht="46.5" customHeight="1" x14ac:dyDescent="0.25">
      <c r="A13" s="256" t="s">
        <v>572</v>
      </c>
      <c r="B13" s="257" t="s">
        <v>573</v>
      </c>
      <c r="C13" s="225" t="s">
        <v>566</v>
      </c>
      <c r="D13" s="225"/>
      <c r="E13" s="258"/>
      <c r="F13" s="258"/>
      <c r="G13" s="225">
        <v>51</v>
      </c>
      <c r="H13" s="225">
        <v>35</v>
      </c>
      <c r="I13" s="225"/>
      <c r="J13" s="225"/>
      <c r="K13" s="225"/>
      <c r="L13" s="259">
        <v>0.25</v>
      </c>
      <c r="M13" s="261"/>
      <c r="N13" s="261"/>
      <c r="O13" s="261"/>
      <c r="P13" s="261"/>
      <c r="Q13" s="261"/>
      <c r="R13" s="261"/>
      <c r="S13" s="261"/>
      <c r="T13" s="261"/>
      <c r="U13" s="261"/>
      <c r="V13" s="261"/>
      <c r="W13" s="262">
        <v>600</v>
      </c>
      <c r="X13" s="262">
        <v>1750</v>
      </c>
      <c r="Y13" s="262">
        <v>2</v>
      </c>
      <c r="Z13" s="262">
        <v>50</v>
      </c>
      <c r="AA13" s="284">
        <v>50000</v>
      </c>
      <c r="AB13" s="263">
        <v>0.12</v>
      </c>
      <c r="AC13" s="225">
        <v>2.5</v>
      </c>
      <c r="AD13" s="281">
        <v>0.1</v>
      </c>
      <c r="AE13" s="225"/>
      <c r="AF13" s="262">
        <v>20</v>
      </c>
      <c r="AG13" s="262">
        <v>80</v>
      </c>
      <c r="AH13" s="264">
        <v>120</v>
      </c>
      <c r="AI13" s="265" t="s">
        <v>567</v>
      </c>
      <c r="AJ13" s="262">
        <v>2</v>
      </c>
      <c r="AK13" s="262">
        <v>4</v>
      </c>
      <c r="AL13" s="262">
        <v>0.75</v>
      </c>
      <c r="AM13" s="227">
        <v>0.92</v>
      </c>
      <c r="AN13" s="227">
        <v>0.92</v>
      </c>
      <c r="AO13" s="227">
        <v>0.97</v>
      </c>
      <c r="AP13" s="227">
        <v>0.96</v>
      </c>
      <c r="AQ13" s="227">
        <v>0.96</v>
      </c>
      <c r="AR13" s="227">
        <v>0.89</v>
      </c>
      <c r="AS13" s="274">
        <v>0.15</v>
      </c>
      <c r="AT13" s="266">
        <f t="shared" ref="AT13:BQ13" si="3">AT8</f>
        <v>0.78</v>
      </c>
      <c r="AU13" s="269">
        <f t="shared" si="3"/>
        <v>0.81</v>
      </c>
      <c r="AV13" s="269">
        <f t="shared" si="3"/>
        <v>0.82</v>
      </c>
      <c r="AW13" s="269">
        <f t="shared" si="3"/>
        <v>0.84</v>
      </c>
      <c r="AX13" s="269">
        <f t="shared" si="3"/>
        <v>0.85</v>
      </c>
      <c r="AY13" s="269">
        <f t="shared" si="3"/>
        <v>0.86</v>
      </c>
      <c r="AZ13" s="270">
        <f t="shared" si="3"/>
        <v>0.88</v>
      </c>
      <c r="BA13" s="270">
        <f t="shared" si="3"/>
        <v>0.89</v>
      </c>
      <c r="BB13" s="270">
        <f t="shared" si="3"/>
        <v>0.9</v>
      </c>
      <c r="BC13" s="270">
        <f t="shared" si="3"/>
        <v>0.91</v>
      </c>
      <c r="BD13" s="269">
        <f t="shared" si="3"/>
        <v>0.91</v>
      </c>
      <c r="BE13" s="269">
        <f t="shared" si="3"/>
        <v>0.92</v>
      </c>
      <c r="BF13" s="269">
        <f t="shared" si="3"/>
        <v>0.92</v>
      </c>
      <c r="BG13" s="269">
        <f t="shared" si="3"/>
        <v>0.93</v>
      </c>
      <c r="BH13" s="269">
        <f t="shared" si="3"/>
        <v>0.93</v>
      </c>
      <c r="BI13" s="269">
        <f t="shared" si="3"/>
        <v>0.94</v>
      </c>
      <c r="BJ13" s="269">
        <f t="shared" si="3"/>
        <v>0.94</v>
      </c>
      <c r="BK13" s="269">
        <f t="shared" si="3"/>
        <v>0.94</v>
      </c>
      <c r="BL13" s="269">
        <f t="shared" si="3"/>
        <v>0.95</v>
      </c>
      <c r="BM13" s="269">
        <f t="shared" si="3"/>
        <v>0.95</v>
      </c>
      <c r="BN13" s="269">
        <f t="shared" si="3"/>
        <v>0.95</v>
      </c>
      <c r="BO13" s="269">
        <f t="shared" si="3"/>
        <v>0.95</v>
      </c>
      <c r="BP13" s="269">
        <f t="shared" si="3"/>
        <v>0.95</v>
      </c>
      <c r="BQ13" s="269">
        <f t="shared" si="3"/>
        <v>0.95</v>
      </c>
      <c r="BR13" s="271" t="s">
        <v>574</v>
      </c>
      <c r="BS13" s="225">
        <v>27.98</v>
      </c>
      <c r="BT13" s="225" t="s">
        <v>568</v>
      </c>
      <c r="BU13" s="225" t="s">
        <v>569</v>
      </c>
      <c r="BV13" s="225" t="s">
        <v>575</v>
      </c>
      <c r="BW13" s="225" t="s">
        <v>575</v>
      </c>
      <c r="BX13" s="225" t="s">
        <v>576</v>
      </c>
      <c r="BY13" s="225" t="s">
        <v>576</v>
      </c>
      <c r="BZ13" s="225" t="s">
        <v>577</v>
      </c>
      <c r="CA13" s="326" t="s">
        <v>577</v>
      </c>
      <c r="CB13" s="268"/>
      <c r="CC13" s="268"/>
      <c r="CD13" s="268"/>
      <c r="CE13" s="268"/>
      <c r="CF13" s="268"/>
      <c r="CG13" s="330" t="s">
        <v>659</v>
      </c>
      <c r="CH13" s="330">
        <v>169.8</v>
      </c>
    </row>
    <row r="14" spans="1:86" s="221" customFormat="1" ht="46.5" customHeight="1" x14ac:dyDescent="0.25">
      <c r="A14" s="256" t="s">
        <v>578</v>
      </c>
      <c r="B14" s="257" t="s">
        <v>579</v>
      </c>
      <c r="C14" s="225" t="s">
        <v>566</v>
      </c>
      <c r="D14" s="225"/>
      <c r="E14" s="258"/>
      <c r="F14" s="258"/>
      <c r="G14" s="225">
        <v>51</v>
      </c>
      <c r="H14" s="225">
        <v>30</v>
      </c>
      <c r="I14" s="225"/>
      <c r="J14" s="225"/>
      <c r="K14" s="225"/>
      <c r="L14" s="261"/>
      <c r="M14" s="259">
        <v>0.3</v>
      </c>
      <c r="N14" s="261"/>
      <c r="O14" s="261"/>
      <c r="P14" s="261"/>
      <c r="Q14" s="261"/>
      <c r="R14" s="261"/>
      <c r="S14" s="261"/>
      <c r="T14" s="261"/>
      <c r="U14" s="261"/>
      <c r="V14" s="261"/>
      <c r="W14" s="262">
        <v>600</v>
      </c>
      <c r="X14" s="262">
        <v>1750</v>
      </c>
      <c r="Y14" s="262">
        <v>2</v>
      </c>
      <c r="Z14" s="262">
        <v>50</v>
      </c>
      <c r="AA14" s="284">
        <v>50000</v>
      </c>
      <c r="AB14" s="263">
        <v>0.12</v>
      </c>
      <c r="AC14" s="225">
        <v>2.5</v>
      </c>
      <c r="AD14" s="281">
        <v>0.1</v>
      </c>
      <c r="AE14" s="225"/>
      <c r="AF14" s="262">
        <v>20</v>
      </c>
      <c r="AG14" s="262">
        <v>80</v>
      </c>
      <c r="AH14" s="264">
        <v>120</v>
      </c>
      <c r="AI14" s="265" t="s">
        <v>567</v>
      </c>
      <c r="AJ14" s="262">
        <v>2</v>
      </c>
      <c r="AK14" s="262">
        <v>4</v>
      </c>
      <c r="AL14" s="262">
        <v>0.75</v>
      </c>
      <c r="AM14" s="227">
        <v>0.92</v>
      </c>
      <c r="AN14" s="227">
        <v>0.92</v>
      </c>
      <c r="AO14" s="227">
        <v>0.97</v>
      </c>
      <c r="AP14" s="227">
        <v>0.96</v>
      </c>
      <c r="AQ14" s="227">
        <v>0.96</v>
      </c>
      <c r="AR14" s="227">
        <v>0.89</v>
      </c>
      <c r="AS14" s="274">
        <v>0.15</v>
      </c>
      <c r="AT14" s="269">
        <f t="shared" ref="AT14:BQ19" si="4">AT13</f>
        <v>0.78</v>
      </c>
      <c r="AU14" s="269">
        <f t="shared" si="4"/>
        <v>0.81</v>
      </c>
      <c r="AV14" s="269">
        <f t="shared" si="4"/>
        <v>0.82</v>
      </c>
      <c r="AW14" s="269">
        <f t="shared" si="4"/>
        <v>0.84</v>
      </c>
      <c r="AX14" s="269">
        <f t="shared" si="4"/>
        <v>0.85</v>
      </c>
      <c r="AY14" s="270">
        <f t="shared" si="4"/>
        <v>0.86</v>
      </c>
      <c r="AZ14" s="270">
        <f t="shared" si="4"/>
        <v>0.88</v>
      </c>
      <c r="BA14" s="270">
        <f t="shared" si="4"/>
        <v>0.89</v>
      </c>
      <c r="BB14" s="270">
        <f t="shared" si="4"/>
        <v>0.9</v>
      </c>
      <c r="BC14" s="269">
        <f t="shared" si="4"/>
        <v>0.91</v>
      </c>
      <c r="BD14" s="269">
        <f t="shared" si="4"/>
        <v>0.91</v>
      </c>
      <c r="BE14" s="269">
        <f t="shared" si="4"/>
        <v>0.92</v>
      </c>
      <c r="BF14" s="269">
        <f t="shared" si="4"/>
        <v>0.92</v>
      </c>
      <c r="BG14" s="269">
        <f t="shared" si="4"/>
        <v>0.93</v>
      </c>
      <c r="BH14" s="269">
        <f t="shared" si="4"/>
        <v>0.93</v>
      </c>
      <c r="BI14" s="269">
        <f t="shared" si="4"/>
        <v>0.94</v>
      </c>
      <c r="BJ14" s="269">
        <f t="shared" si="4"/>
        <v>0.94</v>
      </c>
      <c r="BK14" s="269">
        <f t="shared" si="4"/>
        <v>0.94</v>
      </c>
      <c r="BL14" s="269">
        <f t="shared" si="4"/>
        <v>0.95</v>
      </c>
      <c r="BM14" s="269">
        <f t="shared" si="4"/>
        <v>0.95</v>
      </c>
      <c r="BN14" s="269">
        <f t="shared" si="4"/>
        <v>0.95</v>
      </c>
      <c r="BO14" s="269">
        <f t="shared" si="4"/>
        <v>0.95</v>
      </c>
      <c r="BP14" s="269">
        <f t="shared" si="4"/>
        <v>0.95</v>
      </c>
      <c r="BQ14" s="269">
        <f t="shared" si="4"/>
        <v>0.95</v>
      </c>
      <c r="BR14" s="271" t="s">
        <v>574</v>
      </c>
      <c r="BS14" s="225">
        <v>27.98</v>
      </c>
      <c r="BT14" s="225" t="s">
        <v>568</v>
      </c>
      <c r="BU14" s="225" t="s">
        <v>569</v>
      </c>
      <c r="BV14" s="225" t="s">
        <v>575</v>
      </c>
      <c r="BW14" s="225" t="s">
        <v>575</v>
      </c>
      <c r="BX14" s="225" t="s">
        <v>576</v>
      </c>
      <c r="BY14" s="225" t="s">
        <v>576</v>
      </c>
      <c r="BZ14" s="225" t="s">
        <v>577</v>
      </c>
      <c r="CA14" s="326" t="s">
        <v>577</v>
      </c>
      <c r="CB14" s="268"/>
      <c r="CC14" s="268"/>
      <c r="CD14" s="268"/>
      <c r="CE14" s="268"/>
      <c r="CF14" s="268"/>
      <c r="CG14" s="330" t="s">
        <v>659</v>
      </c>
      <c r="CH14" s="330">
        <v>169.8</v>
      </c>
    </row>
    <row r="15" spans="1:86" s="221" customFormat="1" ht="46.5" customHeight="1" x14ac:dyDescent="0.25">
      <c r="A15" s="256" t="s">
        <v>685</v>
      </c>
      <c r="B15" s="372" t="s">
        <v>583</v>
      </c>
      <c r="C15" s="225" t="s">
        <v>566</v>
      </c>
      <c r="D15" s="225"/>
      <c r="E15" s="258"/>
      <c r="F15" s="258"/>
      <c r="G15" s="225">
        <v>63</v>
      </c>
      <c r="H15" s="225">
        <v>35</v>
      </c>
      <c r="I15" s="225"/>
      <c r="J15" s="225"/>
      <c r="K15" s="225"/>
      <c r="L15" s="261"/>
      <c r="M15" s="261"/>
      <c r="N15" s="259">
        <v>0.35</v>
      </c>
      <c r="O15" s="261"/>
      <c r="P15" s="261"/>
      <c r="Q15" s="261"/>
      <c r="R15" s="261"/>
      <c r="S15" s="261"/>
      <c r="T15" s="261"/>
      <c r="U15" s="261"/>
      <c r="V15" s="261"/>
      <c r="W15" s="262">
        <v>600</v>
      </c>
      <c r="X15" s="262">
        <v>1750</v>
      </c>
      <c r="Y15" s="262">
        <v>2</v>
      </c>
      <c r="Z15" s="262">
        <v>50</v>
      </c>
      <c r="AA15" s="284">
        <v>50000</v>
      </c>
      <c r="AB15" s="263">
        <v>0.12</v>
      </c>
      <c r="AC15" s="225">
        <v>2.5</v>
      </c>
      <c r="AD15" s="281">
        <v>0.1</v>
      </c>
      <c r="AE15" s="225"/>
      <c r="AF15" s="262">
        <v>20</v>
      </c>
      <c r="AG15" s="262">
        <v>80</v>
      </c>
      <c r="AH15" s="264">
        <v>120</v>
      </c>
      <c r="AI15" s="265" t="s">
        <v>567</v>
      </c>
      <c r="AJ15" s="262">
        <v>2</v>
      </c>
      <c r="AK15" s="262">
        <v>4</v>
      </c>
      <c r="AL15" s="262">
        <v>0.75</v>
      </c>
      <c r="AM15" s="227">
        <v>0.92</v>
      </c>
      <c r="AN15" s="227">
        <v>0.92</v>
      </c>
      <c r="AO15" s="227">
        <v>0.97</v>
      </c>
      <c r="AP15" s="227">
        <v>0.96</v>
      </c>
      <c r="AQ15" s="227">
        <v>0.96</v>
      </c>
      <c r="AR15" s="227">
        <v>0.89</v>
      </c>
      <c r="AS15" s="274">
        <v>0.15</v>
      </c>
      <c r="AT15" s="269">
        <f t="shared" si="4"/>
        <v>0.78</v>
      </c>
      <c r="AU15" s="269">
        <f t="shared" si="4"/>
        <v>0.81</v>
      </c>
      <c r="AV15" s="269">
        <f t="shared" si="4"/>
        <v>0.82</v>
      </c>
      <c r="AW15" s="269">
        <f t="shared" si="4"/>
        <v>0.84</v>
      </c>
      <c r="AX15" s="269">
        <f t="shared" si="4"/>
        <v>0.85</v>
      </c>
      <c r="AY15" s="269">
        <f>AY13</f>
        <v>0.86</v>
      </c>
      <c r="AZ15" s="270">
        <f t="shared" si="4"/>
        <v>0.88</v>
      </c>
      <c r="BA15" s="270">
        <f t="shared" si="4"/>
        <v>0.89</v>
      </c>
      <c r="BB15" s="270">
        <f t="shared" si="4"/>
        <v>0.9</v>
      </c>
      <c r="BC15" s="270">
        <f>BC13</f>
        <v>0.91</v>
      </c>
      <c r="BD15" s="269">
        <f t="shared" si="4"/>
        <v>0.91</v>
      </c>
      <c r="BE15" s="269">
        <f t="shared" si="4"/>
        <v>0.92</v>
      </c>
      <c r="BF15" s="269">
        <f t="shared" si="4"/>
        <v>0.92</v>
      </c>
      <c r="BG15" s="269">
        <f t="shared" si="4"/>
        <v>0.93</v>
      </c>
      <c r="BH15" s="269">
        <f t="shared" si="4"/>
        <v>0.93</v>
      </c>
      <c r="BI15" s="269">
        <f t="shared" si="4"/>
        <v>0.94</v>
      </c>
      <c r="BJ15" s="269">
        <f t="shared" si="4"/>
        <v>0.94</v>
      </c>
      <c r="BK15" s="269">
        <f t="shared" si="4"/>
        <v>0.94</v>
      </c>
      <c r="BL15" s="269">
        <f t="shared" si="4"/>
        <v>0.95</v>
      </c>
      <c r="BM15" s="269">
        <f t="shared" si="4"/>
        <v>0.95</v>
      </c>
      <c r="BN15" s="269">
        <f t="shared" si="4"/>
        <v>0.95</v>
      </c>
      <c r="BO15" s="269">
        <f t="shared" si="4"/>
        <v>0.95</v>
      </c>
      <c r="BP15" s="269">
        <f t="shared" si="4"/>
        <v>0.95</v>
      </c>
      <c r="BQ15" s="269">
        <f t="shared" si="4"/>
        <v>0.95</v>
      </c>
      <c r="BR15" s="271" t="s">
        <v>574</v>
      </c>
      <c r="BS15" s="225">
        <v>27.98</v>
      </c>
      <c r="BT15" s="225" t="s">
        <v>568</v>
      </c>
      <c r="BU15" s="225" t="s">
        <v>569</v>
      </c>
      <c r="BV15" s="225" t="s">
        <v>575</v>
      </c>
      <c r="BW15" s="225" t="s">
        <v>575</v>
      </c>
      <c r="BX15" s="225" t="s">
        <v>576</v>
      </c>
      <c r="BY15" s="225" t="s">
        <v>576</v>
      </c>
      <c r="BZ15" s="225" t="s">
        <v>577</v>
      </c>
      <c r="CA15" s="326" t="s">
        <v>577</v>
      </c>
      <c r="CB15" s="268"/>
      <c r="CC15" s="268"/>
      <c r="CD15" s="268"/>
      <c r="CE15" s="268"/>
      <c r="CF15" s="268"/>
      <c r="CG15" s="330" t="s">
        <v>659</v>
      </c>
      <c r="CH15" s="330">
        <v>169.8</v>
      </c>
    </row>
    <row r="16" spans="1:86" s="221" customFormat="1" ht="46.5" customHeight="1" x14ac:dyDescent="0.25">
      <c r="A16" s="256" t="s">
        <v>580</v>
      </c>
      <c r="B16" s="257" t="s">
        <v>581</v>
      </c>
      <c r="C16" s="225" t="s">
        <v>566</v>
      </c>
      <c r="D16" s="225"/>
      <c r="E16" s="258"/>
      <c r="F16" s="258"/>
      <c r="G16" s="225">
        <v>63</v>
      </c>
      <c r="H16" s="225">
        <v>30</v>
      </c>
      <c r="I16" s="225"/>
      <c r="J16" s="225"/>
      <c r="K16" s="225"/>
      <c r="L16" s="261"/>
      <c r="M16" s="261"/>
      <c r="N16" s="261"/>
      <c r="O16" s="259">
        <v>0.4</v>
      </c>
      <c r="P16" s="261"/>
      <c r="Q16" s="261"/>
      <c r="R16" s="261"/>
      <c r="S16" s="261"/>
      <c r="T16" s="261"/>
      <c r="U16" s="261"/>
      <c r="V16" s="261"/>
      <c r="W16" s="262">
        <v>600</v>
      </c>
      <c r="X16" s="262">
        <v>1750</v>
      </c>
      <c r="Y16" s="262">
        <v>2</v>
      </c>
      <c r="Z16" s="262">
        <v>50</v>
      </c>
      <c r="AA16" s="284">
        <v>50000</v>
      </c>
      <c r="AB16" s="263">
        <v>0.12</v>
      </c>
      <c r="AC16" s="225">
        <v>2.5</v>
      </c>
      <c r="AD16" s="281">
        <v>0.1</v>
      </c>
      <c r="AE16" s="225"/>
      <c r="AF16" s="262">
        <v>20</v>
      </c>
      <c r="AG16" s="262">
        <v>80</v>
      </c>
      <c r="AH16" s="264">
        <v>120</v>
      </c>
      <c r="AI16" s="265" t="s">
        <v>567</v>
      </c>
      <c r="AJ16" s="262">
        <v>2</v>
      </c>
      <c r="AK16" s="262">
        <v>4</v>
      </c>
      <c r="AL16" s="262">
        <v>0.75</v>
      </c>
      <c r="AM16" s="227">
        <v>0.92</v>
      </c>
      <c r="AN16" s="227">
        <v>0.92</v>
      </c>
      <c r="AO16" s="227">
        <v>0.97</v>
      </c>
      <c r="AP16" s="227">
        <v>0.96</v>
      </c>
      <c r="AQ16" s="227">
        <v>0.96</v>
      </c>
      <c r="AR16" s="227">
        <v>0.89</v>
      </c>
      <c r="AS16" s="274">
        <v>0.15</v>
      </c>
      <c r="AT16" s="269">
        <f>AT14</f>
        <v>0.78</v>
      </c>
      <c r="AU16" s="269">
        <f>AU14</f>
        <v>0.81</v>
      </c>
      <c r="AV16" s="269">
        <f>AV14</f>
        <v>0.82</v>
      </c>
      <c r="AW16" s="269">
        <f>AW14</f>
        <v>0.84</v>
      </c>
      <c r="AX16" s="269">
        <f>AX14</f>
        <v>0.85</v>
      </c>
      <c r="AY16" s="269">
        <f>AY14</f>
        <v>0.86</v>
      </c>
      <c r="AZ16" s="269">
        <f>AZ14</f>
        <v>0.88</v>
      </c>
      <c r="BA16" s="269">
        <f>BA14</f>
        <v>0.89</v>
      </c>
      <c r="BB16" s="270">
        <f>BB14</f>
        <v>0.9</v>
      </c>
      <c r="BC16" s="270">
        <f>BC14</f>
        <v>0.91</v>
      </c>
      <c r="BD16" s="270">
        <f t="shared" ref="BD16:BQ16" si="5">BD14</f>
        <v>0.91</v>
      </c>
      <c r="BE16" s="270">
        <f t="shared" si="5"/>
        <v>0.92</v>
      </c>
      <c r="BF16" s="269">
        <f t="shared" si="5"/>
        <v>0.92</v>
      </c>
      <c r="BG16" s="269">
        <f t="shared" si="5"/>
        <v>0.93</v>
      </c>
      <c r="BH16" s="269">
        <f t="shared" si="5"/>
        <v>0.93</v>
      </c>
      <c r="BI16" s="269">
        <f t="shared" si="5"/>
        <v>0.94</v>
      </c>
      <c r="BJ16" s="269">
        <f t="shared" si="5"/>
        <v>0.94</v>
      </c>
      <c r="BK16" s="269">
        <f t="shared" si="5"/>
        <v>0.94</v>
      </c>
      <c r="BL16" s="269">
        <f t="shared" si="5"/>
        <v>0.95</v>
      </c>
      <c r="BM16" s="269">
        <f t="shared" si="5"/>
        <v>0.95</v>
      </c>
      <c r="BN16" s="269">
        <f t="shared" si="5"/>
        <v>0.95</v>
      </c>
      <c r="BO16" s="269">
        <f t="shared" si="5"/>
        <v>0.95</v>
      </c>
      <c r="BP16" s="269">
        <f t="shared" si="5"/>
        <v>0.95</v>
      </c>
      <c r="BQ16" s="269">
        <f t="shared" si="5"/>
        <v>0.95</v>
      </c>
      <c r="BR16" s="271" t="s">
        <v>574</v>
      </c>
      <c r="BS16" s="225">
        <v>27.98</v>
      </c>
      <c r="BT16" s="225" t="s">
        <v>568</v>
      </c>
      <c r="BU16" s="225" t="s">
        <v>569</v>
      </c>
      <c r="BV16" s="225" t="s">
        <v>575</v>
      </c>
      <c r="BW16" s="225" t="s">
        <v>575</v>
      </c>
      <c r="BX16" s="225" t="s">
        <v>576</v>
      </c>
      <c r="BY16" s="225" t="s">
        <v>576</v>
      </c>
      <c r="BZ16" s="225" t="s">
        <v>577</v>
      </c>
      <c r="CA16" s="326" t="s">
        <v>577</v>
      </c>
      <c r="CB16" s="268"/>
      <c r="CC16" s="268"/>
      <c r="CD16" s="268"/>
      <c r="CE16" s="268"/>
      <c r="CF16" s="268"/>
      <c r="CG16" s="330" t="s">
        <v>659</v>
      </c>
      <c r="CH16" s="330">
        <v>169.8</v>
      </c>
    </row>
    <row r="17" spans="1:86" s="221" customFormat="1" ht="46.5" customHeight="1" x14ac:dyDescent="0.25">
      <c r="A17" s="256" t="s">
        <v>582</v>
      </c>
      <c r="B17" s="257" t="s">
        <v>583</v>
      </c>
      <c r="C17" s="225" t="s">
        <v>566</v>
      </c>
      <c r="D17" s="225"/>
      <c r="E17" s="258"/>
      <c r="F17" s="258"/>
      <c r="G17" s="225">
        <v>80</v>
      </c>
      <c r="H17" s="225">
        <v>33</v>
      </c>
      <c r="I17" s="225"/>
      <c r="J17" s="225"/>
      <c r="K17" s="225"/>
      <c r="L17" s="261"/>
      <c r="M17" s="261"/>
      <c r="N17" s="261"/>
      <c r="O17" s="261"/>
      <c r="P17" s="261"/>
      <c r="Q17" s="259">
        <v>0.5</v>
      </c>
      <c r="R17" s="261"/>
      <c r="S17" s="261"/>
      <c r="T17" s="261"/>
      <c r="U17" s="261"/>
      <c r="V17" s="261"/>
      <c r="W17" s="262">
        <v>600</v>
      </c>
      <c r="X17" s="262">
        <v>1750</v>
      </c>
      <c r="Y17" s="262">
        <v>2</v>
      </c>
      <c r="Z17" s="262">
        <v>50</v>
      </c>
      <c r="AA17" s="284">
        <v>50000</v>
      </c>
      <c r="AB17" s="263">
        <v>0.12</v>
      </c>
      <c r="AC17" s="225">
        <v>2.5</v>
      </c>
      <c r="AD17" s="281">
        <v>0.1</v>
      </c>
      <c r="AE17" s="225"/>
      <c r="AF17" s="262">
        <v>20</v>
      </c>
      <c r="AG17" s="262">
        <v>80</v>
      </c>
      <c r="AH17" s="264">
        <v>120</v>
      </c>
      <c r="AI17" s="265" t="s">
        <v>567</v>
      </c>
      <c r="AJ17" s="262">
        <v>2</v>
      </c>
      <c r="AK17" s="262">
        <v>4</v>
      </c>
      <c r="AL17" s="262">
        <v>0.75</v>
      </c>
      <c r="AM17" s="227">
        <v>0.92</v>
      </c>
      <c r="AN17" s="227">
        <v>0.92</v>
      </c>
      <c r="AO17" s="227">
        <v>0.97</v>
      </c>
      <c r="AP17" s="227">
        <v>0.96</v>
      </c>
      <c r="AQ17" s="227">
        <v>0.96</v>
      </c>
      <c r="AR17" s="227">
        <v>0.89</v>
      </c>
      <c r="AS17" s="274">
        <v>0.15</v>
      </c>
      <c r="AT17" s="269">
        <f t="shared" si="4"/>
        <v>0.78</v>
      </c>
      <c r="AU17" s="269">
        <f t="shared" si="4"/>
        <v>0.81</v>
      </c>
      <c r="AV17" s="269">
        <f t="shared" si="4"/>
        <v>0.82</v>
      </c>
      <c r="AW17" s="269">
        <f t="shared" si="4"/>
        <v>0.84</v>
      </c>
      <c r="AX17" s="269">
        <f t="shared" si="4"/>
        <v>0.85</v>
      </c>
      <c r="AY17" s="269">
        <f t="shared" si="4"/>
        <v>0.86</v>
      </c>
      <c r="AZ17" s="269">
        <f t="shared" si="4"/>
        <v>0.88</v>
      </c>
      <c r="BA17" s="270">
        <f t="shared" si="4"/>
        <v>0.89</v>
      </c>
      <c r="BB17" s="270">
        <f t="shared" si="4"/>
        <v>0.9</v>
      </c>
      <c r="BC17" s="270">
        <f t="shared" si="4"/>
        <v>0.91</v>
      </c>
      <c r="BD17" s="270">
        <f t="shared" si="4"/>
        <v>0.91</v>
      </c>
      <c r="BE17" s="269">
        <f t="shared" si="4"/>
        <v>0.92</v>
      </c>
      <c r="BF17" s="269">
        <f t="shared" si="4"/>
        <v>0.92</v>
      </c>
      <c r="BG17" s="269">
        <f t="shared" si="4"/>
        <v>0.93</v>
      </c>
      <c r="BH17" s="269">
        <f t="shared" si="4"/>
        <v>0.93</v>
      </c>
      <c r="BI17" s="269">
        <f t="shared" si="4"/>
        <v>0.94</v>
      </c>
      <c r="BJ17" s="269">
        <f t="shared" si="4"/>
        <v>0.94</v>
      </c>
      <c r="BK17" s="269">
        <f t="shared" si="4"/>
        <v>0.94</v>
      </c>
      <c r="BL17" s="269">
        <f t="shared" si="4"/>
        <v>0.95</v>
      </c>
      <c r="BM17" s="269">
        <f t="shared" si="4"/>
        <v>0.95</v>
      </c>
      <c r="BN17" s="269">
        <f t="shared" si="4"/>
        <v>0.95</v>
      </c>
      <c r="BO17" s="269">
        <f t="shared" si="4"/>
        <v>0.95</v>
      </c>
      <c r="BP17" s="269">
        <f t="shared" si="4"/>
        <v>0.95</v>
      </c>
      <c r="BQ17" s="269">
        <f t="shared" si="4"/>
        <v>0.95</v>
      </c>
      <c r="BR17" s="271" t="s">
        <v>574</v>
      </c>
      <c r="BS17" s="225">
        <v>27.98</v>
      </c>
      <c r="BT17" s="225" t="s">
        <v>568</v>
      </c>
      <c r="BU17" s="225" t="s">
        <v>569</v>
      </c>
      <c r="BV17" s="225" t="s">
        <v>575</v>
      </c>
      <c r="BW17" s="225" t="s">
        <v>575</v>
      </c>
      <c r="BX17" s="225" t="s">
        <v>576</v>
      </c>
      <c r="BY17" s="225" t="s">
        <v>576</v>
      </c>
      <c r="BZ17" s="225" t="s">
        <v>577</v>
      </c>
      <c r="CA17" s="326" t="s">
        <v>577</v>
      </c>
      <c r="CB17" s="268"/>
      <c r="CC17" s="268"/>
      <c r="CD17" s="268"/>
      <c r="CE17" s="268"/>
      <c r="CF17" s="268"/>
      <c r="CG17" s="330" t="s">
        <v>659</v>
      </c>
      <c r="CH17" s="330">
        <v>169.8</v>
      </c>
    </row>
    <row r="18" spans="1:86" s="221" customFormat="1" ht="46.5" customHeight="1" x14ac:dyDescent="0.25">
      <c r="A18" s="256" t="s">
        <v>584</v>
      </c>
      <c r="B18" s="257" t="s">
        <v>585</v>
      </c>
      <c r="C18" s="225" t="s">
        <v>566</v>
      </c>
      <c r="D18" s="225"/>
      <c r="E18" s="258"/>
      <c r="F18" s="258"/>
      <c r="G18" s="225">
        <v>70</v>
      </c>
      <c r="H18" s="225">
        <v>35</v>
      </c>
      <c r="I18" s="225"/>
      <c r="J18" s="225"/>
      <c r="K18" s="225"/>
      <c r="L18" s="261"/>
      <c r="M18" s="261"/>
      <c r="N18" s="261"/>
      <c r="O18" s="261"/>
      <c r="P18" s="259">
        <v>0.45</v>
      </c>
      <c r="Q18" s="261"/>
      <c r="R18" s="261"/>
      <c r="S18" s="261"/>
      <c r="T18" s="261"/>
      <c r="U18" s="261"/>
      <c r="V18" s="261"/>
      <c r="W18" s="262">
        <v>600</v>
      </c>
      <c r="X18" s="262">
        <v>1750</v>
      </c>
      <c r="Y18" s="262">
        <v>2</v>
      </c>
      <c r="Z18" s="262">
        <v>50</v>
      </c>
      <c r="AA18" s="284">
        <v>50000</v>
      </c>
      <c r="AB18" s="263">
        <v>0.12</v>
      </c>
      <c r="AC18" s="225">
        <v>2.5</v>
      </c>
      <c r="AD18" s="281">
        <v>0.1</v>
      </c>
      <c r="AE18" s="225"/>
      <c r="AF18" s="262">
        <v>20</v>
      </c>
      <c r="AG18" s="262">
        <v>80</v>
      </c>
      <c r="AH18" s="264">
        <v>120</v>
      </c>
      <c r="AI18" s="265" t="s">
        <v>567</v>
      </c>
      <c r="AJ18" s="262">
        <v>2</v>
      </c>
      <c r="AK18" s="262">
        <v>4</v>
      </c>
      <c r="AL18" s="262">
        <v>0.75</v>
      </c>
      <c r="AM18" s="227">
        <v>0.92</v>
      </c>
      <c r="AN18" s="227">
        <v>0.92</v>
      </c>
      <c r="AO18" s="227">
        <v>0.97</v>
      </c>
      <c r="AP18" s="227">
        <v>0.96</v>
      </c>
      <c r="AQ18" s="227">
        <v>0.96</v>
      </c>
      <c r="AR18" s="227">
        <v>0.89</v>
      </c>
      <c r="AS18" s="274">
        <v>0.15</v>
      </c>
      <c r="AT18" s="269">
        <f t="shared" si="4"/>
        <v>0.78</v>
      </c>
      <c r="AU18" s="269">
        <f t="shared" si="4"/>
        <v>0.81</v>
      </c>
      <c r="AV18" s="269">
        <f t="shared" si="4"/>
        <v>0.82</v>
      </c>
      <c r="AW18" s="269">
        <f t="shared" si="4"/>
        <v>0.84</v>
      </c>
      <c r="AX18" s="269">
        <f t="shared" si="4"/>
        <v>0.85</v>
      </c>
      <c r="AY18" s="269">
        <f t="shared" si="4"/>
        <v>0.86</v>
      </c>
      <c r="AZ18" s="269">
        <f t="shared" si="4"/>
        <v>0.88</v>
      </c>
      <c r="BA18" s="269">
        <f t="shared" si="4"/>
        <v>0.89</v>
      </c>
      <c r="BB18" s="269">
        <f t="shared" si="4"/>
        <v>0.9</v>
      </c>
      <c r="BC18" s="270">
        <f t="shared" si="4"/>
        <v>0.91</v>
      </c>
      <c r="BD18" s="270">
        <f t="shared" si="4"/>
        <v>0.91</v>
      </c>
      <c r="BE18" s="270">
        <f t="shared" si="4"/>
        <v>0.92</v>
      </c>
      <c r="BF18" s="270">
        <f t="shared" si="4"/>
        <v>0.92</v>
      </c>
      <c r="BG18" s="269">
        <f t="shared" si="4"/>
        <v>0.93</v>
      </c>
      <c r="BH18" s="269">
        <f t="shared" si="4"/>
        <v>0.93</v>
      </c>
      <c r="BI18" s="269">
        <f t="shared" si="4"/>
        <v>0.94</v>
      </c>
      <c r="BJ18" s="269">
        <f t="shared" si="4"/>
        <v>0.94</v>
      </c>
      <c r="BK18" s="269">
        <f t="shared" si="4"/>
        <v>0.94</v>
      </c>
      <c r="BL18" s="269">
        <f t="shared" si="4"/>
        <v>0.95</v>
      </c>
      <c r="BM18" s="269">
        <f t="shared" si="4"/>
        <v>0.95</v>
      </c>
      <c r="BN18" s="269">
        <f t="shared" si="4"/>
        <v>0.95</v>
      </c>
      <c r="BO18" s="269">
        <f t="shared" si="4"/>
        <v>0.95</v>
      </c>
      <c r="BP18" s="269">
        <f t="shared" si="4"/>
        <v>0.95</v>
      </c>
      <c r="BQ18" s="269">
        <f t="shared" si="4"/>
        <v>0.95</v>
      </c>
      <c r="BR18" s="271" t="s">
        <v>574</v>
      </c>
      <c r="BS18" s="225">
        <v>27.98</v>
      </c>
      <c r="BT18" s="225" t="s">
        <v>568</v>
      </c>
      <c r="BU18" s="225" t="s">
        <v>569</v>
      </c>
      <c r="BV18" s="225" t="s">
        <v>575</v>
      </c>
      <c r="BW18" s="225" t="s">
        <v>575</v>
      </c>
      <c r="BX18" s="225" t="s">
        <v>576</v>
      </c>
      <c r="BY18" s="225" t="s">
        <v>576</v>
      </c>
      <c r="BZ18" s="225" t="s">
        <v>577</v>
      </c>
      <c r="CA18" s="326" t="s">
        <v>577</v>
      </c>
      <c r="CB18" s="268"/>
      <c r="CC18" s="268"/>
      <c r="CD18" s="268"/>
      <c r="CE18" s="268"/>
      <c r="CF18" s="268"/>
      <c r="CG18" s="330" t="s">
        <v>659</v>
      </c>
      <c r="CH18" s="330">
        <v>169.8</v>
      </c>
    </row>
    <row r="19" spans="1:86" s="221" customFormat="1" ht="46.5" customHeight="1" x14ac:dyDescent="0.25">
      <c r="A19" s="256" t="s">
        <v>586</v>
      </c>
      <c r="B19" s="257" t="s">
        <v>587</v>
      </c>
      <c r="C19" s="225" t="s">
        <v>566</v>
      </c>
      <c r="D19" s="225"/>
      <c r="E19" s="258"/>
      <c r="F19" s="258"/>
      <c r="G19" s="225">
        <v>80</v>
      </c>
      <c r="H19" s="225">
        <v>35</v>
      </c>
      <c r="I19" s="225"/>
      <c r="J19" s="225"/>
      <c r="K19" s="225"/>
      <c r="L19" s="261"/>
      <c r="M19" s="261"/>
      <c r="N19" s="261"/>
      <c r="O19" s="272"/>
      <c r="P19" s="261"/>
      <c r="Q19" s="260"/>
      <c r="R19" s="259">
        <v>0.55000000000000004</v>
      </c>
      <c r="S19" s="261"/>
      <c r="T19" s="261"/>
      <c r="U19" s="261"/>
      <c r="V19" s="261"/>
      <c r="W19" s="262">
        <v>600</v>
      </c>
      <c r="X19" s="262">
        <v>1750</v>
      </c>
      <c r="Y19" s="262">
        <v>2</v>
      </c>
      <c r="Z19" s="262">
        <v>50</v>
      </c>
      <c r="AA19" s="284">
        <v>50000</v>
      </c>
      <c r="AB19" s="263">
        <v>0.12</v>
      </c>
      <c r="AC19" s="225">
        <v>2.5</v>
      </c>
      <c r="AD19" s="281">
        <v>0.1</v>
      </c>
      <c r="AE19" s="225"/>
      <c r="AF19" s="262">
        <v>20</v>
      </c>
      <c r="AG19" s="262">
        <v>80</v>
      </c>
      <c r="AH19" s="264">
        <v>120</v>
      </c>
      <c r="AI19" s="265" t="s">
        <v>567</v>
      </c>
      <c r="AJ19" s="262">
        <v>2</v>
      </c>
      <c r="AK19" s="262">
        <v>4</v>
      </c>
      <c r="AL19" s="262">
        <v>0.75</v>
      </c>
      <c r="AM19" s="227">
        <v>0.92</v>
      </c>
      <c r="AN19" s="227">
        <v>0.92</v>
      </c>
      <c r="AO19" s="227">
        <v>0.97</v>
      </c>
      <c r="AP19" s="227">
        <v>0.96</v>
      </c>
      <c r="AQ19" s="227">
        <v>0.96</v>
      </c>
      <c r="AR19" s="227">
        <v>0.89</v>
      </c>
      <c r="AS19" s="274">
        <v>0.15</v>
      </c>
      <c r="AT19" s="269">
        <f t="shared" si="4"/>
        <v>0.78</v>
      </c>
      <c r="AU19" s="269">
        <f t="shared" si="4"/>
        <v>0.81</v>
      </c>
      <c r="AV19" s="269">
        <f t="shared" si="4"/>
        <v>0.82</v>
      </c>
      <c r="AW19" s="269">
        <f t="shared" si="4"/>
        <v>0.84</v>
      </c>
      <c r="AX19" s="269">
        <f t="shared" si="4"/>
        <v>0.85</v>
      </c>
      <c r="AY19" s="269">
        <f t="shared" si="4"/>
        <v>0.86</v>
      </c>
      <c r="AZ19" s="269">
        <f t="shared" si="4"/>
        <v>0.88</v>
      </c>
      <c r="BA19" s="269">
        <f t="shared" si="4"/>
        <v>0.89</v>
      </c>
      <c r="BB19" s="269">
        <f t="shared" si="4"/>
        <v>0.9</v>
      </c>
      <c r="BC19" s="269">
        <f t="shared" si="4"/>
        <v>0.91</v>
      </c>
      <c r="BD19" s="270">
        <f t="shared" si="4"/>
        <v>0.91</v>
      </c>
      <c r="BE19" s="270">
        <f t="shared" si="4"/>
        <v>0.92</v>
      </c>
      <c r="BF19" s="270">
        <f t="shared" si="4"/>
        <v>0.92</v>
      </c>
      <c r="BG19" s="269">
        <f t="shared" si="4"/>
        <v>0.93</v>
      </c>
      <c r="BH19" s="269">
        <f t="shared" si="4"/>
        <v>0.93</v>
      </c>
      <c r="BI19" s="269">
        <f t="shared" si="4"/>
        <v>0.94</v>
      </c>
      <c r="BJ19" s="269">
        <f t="shared" si="4"/>
        <v>0.94</v>
      </c>
      <c r="BK19" s="269">
        <f t="shared" si="4"/>
        <v>0.94</v>
      </c>
      <c r="BL19" s="269">
        <f t="shared" si="4"/>
        <v>0.95</v>
      </c>
      <c r="BM19" s="269">
        <f t="shared" si="4"/>
        <v>0.95</v>
      </c>
      <c r="BN19" s="269">
        <f t="shared" si="4"/>
        <v>0.95</v>
      </c>
      <c r="BO19" s="269">
        <f t="shared" si="4"/>
        <v>0.95</v>
      </c>
      <c r="BP19" s="269">
        <f t="shared" si="4"/>
        <v>0.95</v>
      </c>
      <c r="BQ19" s="269">
        <f t="shared" si="4"/>
        <v>0.95</v>
      </c>
      <c r="BR19" s="271" t="s">
        <v>574</v>
      </c>
      <c r="BS19" s="225">
        <v>27.98</v>
      </c>
      <c r="BT19" s="225" t="s">
        <v>568</v>
      </c>
      <c r="BU19" s="225" t="s">
        <v>569</v>
      </c>
      <c r="BV19" s="225" t="s">
        <v>575</v>
      </c>
      <c r="BW19" s="225" t="s">
        <v>575</v>
      </c>
      <c r="BX19" s="225" t="s">
        <v>576</v>
      </c>
      <c r="BY19" s="225" t="s">
        <v>576</v>
      </c>
      <c r="BZ19" s="225" t="s">
        <v>577</v>
      </c>
      <c r="CA19" s="326" t="s">
        <v>577</v>
      </c>
      <c r="CB19" s="268"/>
      <c r="CC19" s="268"/>
      <c r="CD19" s="268"/>
      <c r="CE19" s="268"/>
      <c r="CF19" s="268"/>
      <c r="CG19" s="330" t="s">
        <v>659</v>
      </c>
      <c r="CH19" s="330">
        <v>169.8</v>
      </c>
    </row>
    <row r="20" spans="1:86" s="221" customFormat="1" ht="46.5" customHeight="1" x14ac:dyDescent="0.25">
      <c r="A20" s="256" t="s">
        <v>678</v>
      </c>
      <c r="B20" s="257"/>
      <c r="C20" s="225" t="s">
        <v>566</v>
      </c>
      <c r="D20" s="225"/>
      <c r="E20" s="258"/>
      <c r="F20" s="258"/>
      <c r="G20" s="225">
        <v>183</v>
      </c>
      <c r="H20" s="225"/>
      <c r="I20" s="225">
        <v>9</v>
      </c>
      <c r="J20" s="225">
        <v>32</v>
      </c>
      <c r="K20" s="273">
        <f>G20/I20/((J20/20)^2)*3.14</f>
        <v>24.940104166666661</v>
      </c>
      <c r="L20" s="261"/>
      <c r="M20" s="371">
        <v>0.3</v>
      </c>
      <c r="N20" s="371">
        <v>0.35</v>
      </c>
      <c r="O20" s="259">
        <v>0.4</v>
      </c>
      <c r="P20" s="259">
        <v>0.45</v>
      </c>
      <c r="Q20" s="260"/>
      <c r="R20" s="260"/>
      <c r="S20" s="261"/>
      <c r="T20" s="261"/>
      <c r="U20" s="261"/>
      <c r="V20" s="261"/>
      <c r="W20" s="262">
        <v>500</v>
      </c>
      <c r="X20" s="262">
        <v>1750</v>
      </c>
      <c r="Y20" s="262">
        <v>2</v>
      </c>
      <c r="Z20" s="262">
        <v>50</v>
      </c>
      <c r="AA20" s="284">
        <v>50000</v>
      </c>
      <c r="AB20" s="263">
        <v>0.15</v>
      </c>
      <c r="AC20" s="225">
        <v>2.8</v>
      </c>
      <c r="AD20" s="281">
        <v>0.1</v>
      </c>
      <c r="AE20" s="225"/>
      <c r="AF20" s="262">
        <v>20</v>
      </c>
      <c r="AG20" s="262">
        <v>80</v>
      </c>
      <c r="AH20" s="264">
        <v>120</v>
      </c>
      <c r="AI20" s="265" t="s">
        <v>567</v>
      </c>
      <c r="AJ20" s="262">
        <v>2.5</v>
      </c>
      <c r="AK20" s="262">
        <v>4</v>
      </c>
      <c r="AL20" s="262">
        <v>0.75</v>
      </c>
      <c r="AM20" s="227">
        <v>0.96</v>
      </c>
      <c r="AN20" s="227">
        <v>0.96</v>
      </c>
      <c r="AO20" s="227">
        <v>0.95</v>
      </c>
      <c r="AP20" s="227">
        <v>0.95</v>
      </c>
      <c r="AQ20" s="227">
        <v>0.97</v>
      </c>
      <c r="AR20" s="227">
        <v>0.9</v>
      </c>
      <c r="AS20" s="274">
        <v>0.12</v>
      </c>
      <c r="AT20" s="269">
        <f>AT8</f>
        <v>0.78</v>
      </c>
      <c r="AU20" s="269">
        <f t="shared" ref="AU20:BQ20" si="6">AU8</f>
        <v>0.81</v>
      </c>
      <c r="AV20" s="269">
        <f t="shared" si="6"/>
        <v>0.82</v>
      </c>
      <c r="AW20" s="269">
        <f t="shared" si="6"/>
        <v>0.84</v>
      </c>
      <c r="AX20" s="269">
        <f t="shared" si="6"/>
        <v>0.85</v>
      </c>
      <c r="AY20" s="269">
        <f t="shared" si="6"/>
        <v>0.86</v>
      </c>
      <c r="AZ20" s="269">
        <f t="shared" si="6"/>
        <v>0.88</v>
      </c>
      <c r="BA20" s="269">
        <f t="shared" si="6"/>
        <v>0.89</v>
      </c>
      <c r="BB20" s="361">
        <f t="shared" si="6"/>
        <v>0.9</v>
      </c>
      <c r="BC20" s="361">
        <f t="shared" si="6"/>
        <v>0.91</v>
      </c>
      <c r="BD20" s="361">
        <f t="shared" si="6"/>
        <v>0.91</v>
      </c>
      <c r="BE20" s="361">
        <f t="shared" si="6"/>
        <v>0.92</v>
      </c>
      <c r="BF20" s="269">
        <f t="shared" si="6"/>
        <v>0.92</v>
      </c>
      <c r="BG20" s="269">
        <f t="shared" si="6"/>
        <v>0.93</v>
      </c>
      <c r="BH20" s="269">
        <f t="shared" si="6"/>
        <v>0.93</v>
      </c>
      <c r="BI20" s="269">
        <f t="shared" si="6"/>
        <v>0.94</v>
      </c>
      <c r="BJ20" s="269">
        <f t="shared" si="6"/>
        <v>0.94</v>
      </c>
      <c r="BK20" s="269">
        <f t="shared" si="6"/>
        <v>0.94</v>
      </c>
      <c r="BL20" s="269">
        <f t="shared" si="6"/>
        <v>0.95</v>
      </c>
      <c r="BM20" s="269">
        <f t="shared" si="6"/>
        <v>0.95</v>
      </c>
      <c r="BN20" s="269">
        <f t="shared" si="6"/>
        <v>0.95</v>
      </c>
      <c r="BO20" s="269">
        <f t="shared" si="6"/>
        <v>0.95</v>
      </c>
      <c r="BP20" s="269">
        <f t="shared" si="6"/>
        <v>0.95</v>
      </c>
      <c r="BQ20" s="269">
        <f t="shared" si="6"/>
        <v>0.95</v>
      </c>
      <c r="BR20" s="225" t="s">
        <v>588</v>
      </c>
      <c r="BS20" s="225">
        <v>88.5</v>
      </c>
      <c r="BT20" s="225" t="s">
        <v>589</v>
      </c>
      <c r="BU20" s="225" t="s">
        <v>569</v>
      </c>
      <c r="BV20" s="225" t="s">
        <v>590</v>
      </c>
      <c r="BW20" s="225" t="s">
        <v>590</v>
      </c>
      <c r="BX20" s="225" t="s">
        <v>590</v>
      </c>
      <c r="BY20" s="225" t="s">
        <v>590</v>
      </c>
      <c r="BZ20" s="225" t="s">
        <v>576</v>
      </c>
      <c r="CA20" s="326" t="s">
        <v>576</v>
      </c>
      <c r="CB20" s="268"/>
      <c r="CC20" s="268"/>
      <c r="CD20" s="268"/>
      <c r="CE20" s="268"/>
      <c r="CF20" s="268"/>
      <c r="CG20" s="330" t="s">
        <v>659</v>
      </c>
      <c r="CH20" s="330">
        <v>605.79999999999995</v>
      </c>
    </row>
    <row r="21" spans="1:86" s="221" customFormat="1" ht="46.5" customHeight="1" x14ac:dyDescent="0.25">
      <c r="A21" s="256">
        <v>250</v>
      </c>
      <c r="B21" s="257"/>
      <c r="C21" s="225" t="s">
        <v>566</v>
      </c>
      <c r="D21" s="225"/>
      <c r="E21" s="258"/>
      <c r="F21" s="258"/>
      <c r="G21" s="225">
        <v>225</v>
      </c>
      <c r="H21" s="225"/>
      <c r="I21" s="225">
        <v>9</v>
      </c>
      <c r="J21" s="225">
        <v>32</v>
      </c>
      <c r="K21" s="273">
        <f>G21/I21/((J21/20)^2)*3.14</f>
        <v>30.664062499999996</v>
      </c>
      <c r="L21" s="259">
        <v>0.25</v>
      </c>
      <c r="M21" s="259">
        <v>0.3</v>
      </c>
      <c r="N21" s="259">
        <v>0.35</v>
      </c>
      <c r="O21" s="259">
        <v>0.4</v>
      </c>
      <c r="P21" s="259">
        <v>0.45</v>
      </c>
      <c r="Q21" s="259">
        <v>0.5</v>
      </c>
      <c r="R21" s="259">
        <v>0.55000000000000004</v>
      </c>
      <c r="S21" s="261"/>
      <c r="T21" s="261"/>
      <c r="U21" s="261"/>
      <c r="V21" s="261"/>
      <c r="W21" s="262">
        <v>600</v>
      </c>
      <c r="X21" s="262">
        <v>1750</v>
      </c>
      <c r="Y21" s="262">
        <v>2</v>
      </c>
      <c r="Z21" s="262">
        <v>50</v>
      </c>
      <c r="AA21" s="284">
        <v>50000</v>
      </c>
      <c r="AB21" s="263">
        <v>0.15</v>
      </c>
      <c r="AC21" s="225">
        <v>3</v>
      </c>
      <c r="AD21" s="281">
        <v>0.1</v>
      </c>
      <c r="AE21" s="225"/>
      <c r="AF21" s="262">
        <v>20</v>
      </c>
      <c r="AG21" s="262">
        <v>80</v>
      </c>
      <c r="AH21" s="264">
        <v>120</v>
      </c>
      <c r="AI21" s="265" t="s">
        <v>567</v>
      </c>
      <c r="AJ21" s="262">
        <v>2.5</v>
      </c>
      <c r="AK21" s="262">
        <v>4</v>
      </c>
      <c r="AL21" s="262">
        <v>0.75</v>
      </c>
      <c r="AM21" s="227">
        <v>0.96</v>
      </c>
      <c r="AN21" s="227">
        <v>0.96</v>
      </c>
      <c r="AO21" s="227">
        <v>0.97</v>
      </c>
      <c r="AP21" s="227">
        <v>0.96</v>
      </c>
      <c r="AQ21" s="227">
        <v>0.97</v>
      </c>
      <c r="AR21" s="227">
        <v>0.93</v>
      </c>
      <c r="AS21" s="274">
        <v>0.12</v>
      </c>
      <c r="AT21" s="269">
        <f t="shared" ref="AT21:BQ21" si="7">AT8</f>
        <v>0.78</v>
      </c>
      <c r="AU21" s="269">
        <f t="shared" si="7"/>
        <v>0.81</v>
      </c>
      <c r="AV21" s="269">
        <f t="shared" si="7"/>
        <v>0.82</v>
      </c>
      <c r="AW21" s="269">
        <f t="shared" si="7"/>
        <v>0.84</v>
      </c>
      <c r="AX21" s="269">
        <f t="shared" si="7"/>
        <v>0.85</v>
      </c>
      <c r="AY21" s="269">
        <f t="shared" si="7"/>
        <v>0.86</v>
      </c>
      <c r="AZ21" s="269">
        <f t="shared" si="7"/>
        <v>0.88</v>
      </c>
      <c r="BA21" s="269">
        <f t="shared" si="7"/>
        <v>0.89</v>
      </c>
      <c r="BB21" s="269">
        <f t="shared" si="7"/>
        <v>0.9</v>
      </c>
      <c r="BC21" s="269">
        <f t="shared" si="7"/>
        <v>0.91</v>
      </c>
      <c r="BD21" s="269">
        <f t="shared" si="7"/>
        <v>0.91</v>
      </c>
      <c r="BE21" s="270">
        <f t="shared" si="7"/>
        <v>0.92</v>
      </c>
      <c r="BF21" s="270">
        <f t="shared" si="7"/>
        <v>0.92</v>
      </c>
      <c r="BG21" s="270">
        <f t="shared" si="7"/>
        <v>0.93</v>
      </c>
      <c r="BH21" s="270">
        <f t="shared" si="7"/>
        <v>0.93</v>
      </c>
      <c r="BI21" s="270">
        <f t="shared" si="7"/>
        <v>0.94</v>
      </c>
      <c r="BJ21" s="270">
        <f t="shared" si="7"/>
        <v>0.94</v>
      </c>
      <c r="BK21" s="270">
        <f t="shared" si="7"/>
        <v>0.94</v>
      </c>
      <c r="BL21" s="270">
        <f t="shared" si="7"/>
        <v>0.95</v>
      </c>
      <c r="BM21" s="269">
        <f t="shared" si="7"/>
        <v>0.95</v>
      </c>
      <c r="BN21" s="269">
        <f t="shared" si="7"/>
        <v>0.95</v>
      </c>
      <c r="BO21" s="269">
        <f t="shared" si="7"/>
        <v>0.95</v>
      </c>
      <c r="BP21" s="269">
        <f t="shared" si="7"/>
        <v>0.95</v>
      </c>
      <c r="BQ21" s="269">
        <f t="shared" si="7"/>
        <v>0.95</v>
      </c>
      <c r="BR21" s="225" t="s">
        <v>588</v>
      </c>
      <c r="BS21" s="225">
        <v>88.5</v>
      </c>
      <c r="BT21" s="225" t="s">
        <v>589</v>
      </c>
      <c r="BU21" s="225" t="s">
        <v>569</v>
      </c>
      <c r="BV21" s="225" t="s">
        <v>590</v>
      </c>
      <c r="BW21" s="225" t="s">
        <v>590</v>
      </c>
      <c r="BX21" s="225" t="s">
        <v>590</v>
      </c>
      <c r="BY21" s="225" t="s">
        <v>590</v>
      </c>
      <c r="BZ21" s="225" t="s">
        <v>576</v>
      </c>
      <c r="CA21" s="326" t="s">
        <v>576</v>
      </c>
      <c r="CB21" s="268"/>
      <c r="CC21" s="268"/>
      <c r="CD21" s="268"/>
      <c r="CE21" s="268"/>
      <c r="CF21" s="268"/>
      <c r="CG21" s="330" t="s">
        <v>659</v>
      </c>
      <c r="CH21" s="330">
        <v>605.79999999999995</v>
      </c>
    </row>
    <row r="22" spans="1:86" s="221" customFormat="1" ht="46.5" customHeight="1" x14ac:dyDescent="0.25">
      <c r="A22" s="256" t="s">
        <v>650</v>
      </c>
      <c r="B22" s="257"/>
      <c r="C22" s="225" t="s">
        <v>566</v>
      </c>
      <c r="D22" s="225"/>
      <c r="E22" s="258"/>
      <c r="F22" s="258"/>
      <c r="G22" s="225">
        <v>286</v>
      </c>
      <c r="H22" s="225"/>
      <c r="I22" s="225"/>
      <c r="J22" s="225"/>
      <c r="K22" s="225"/>
      <c r="L22" s="259">
        <v>0.25</v>
      </c>
      <c r="M22" s="259">
        <v>0.3</v>
      </c>
      <c r="N22" s="259">
        <v>0.35</v>
      </c>
      <c r="O22" s="259">
        <v>0.4</v>
      </c>
      <c r="P22" s="259">
        <v>0.45</v>
      </c>
      <c r="Q22" s="259">
        <v>0.5</v>
      </c>
      <c r="R22" s="259">
        <v>0.55000000000000004</v>
      </c>
      <c r="S22" s="261"/>
      <c r="T22" s="261"/>
      <c r="U22" s="261"/>
      <c r="V22" s="261"/>
      <c r="W22" s="262">
        <v>600</v>
      </c>
      <c r="X22" s="262">
        <v>1650</v>
      </c>
      <c r="Y22" s="262">
        <v>2</v>
      </c>
      <c r="Z22" s="262">
        <v>50</v>
      </c>
      <c r="AA22" s="284">
        <v>50000</v>
      </c>
      <c r="AB22" s="263">
        <v>0.15</v>
      </c>
      <c r="AC22" s="225">
        <v>3.5</v>
      </c>
      <c r="AD22" s="281">
        <v>0.1</v>
      </c>
      <c r="AE22" s="225"/>
      <c r="AF22" s="262">
        <v>20</v>
      </c>
      <c r="AG22" s="262">
        <v>80</v>
      </c>
      <c r="AH22" s="264">
        <v>120</v>
      </c>
      <c r="AI22" s="265" t="s">
        <v>567</v>
      </c>
      <c r="AJ22" s="262">
        <v>2.5</v>
      </c>
      <c r="AK22" s="262">
        <v>4</v>
      </c>
      <c r="AL22" s="262">
        <v>0.75</v>
      </c>
      <c r="AM22" s="227">
        <v>0.96</v>
      </c>
      <c r="AN22" s="227">
        <v>0.96</v>
      </c>
      <c r="AO22" s="227">
        <v>0.97</v>
      </c>
      <c r="AP22" s="227">
        <v>0.96</v>
      </c>
      <c r="AQ22" s="227">
        <v>0.97</v>
      </c>
      <c r="AR22" s="227">
        <v>0.93</v>
      </c>
      <c r="AS22" s="274">
        <v>0.12</v>
      </c>
      <c r="AT22" s="269">
        <f t="shared" ref="AT22:BQ23" si="8">AT21</f>
        <v>0.78</v>
      </c>
      <c r="AU22" s="269">
        <f t="shared" si="8"/>
        <v>0.81</v>
      </c>
      <c r="AV22" s="269">
        <f t="shared" si="8"/>
        <v>0.82</v>
      </c>
      <c r="AW22" s="269">
        <f t="shared" si="8"/>
        <v>0.84</v>
      </c>
      <c r="AX22" s="269">
        <f t="shared" si="8"/>
        <v>0.85</v>
      </c>
      <c r="AY22" s="269">
        <f t="shared" si="8"/>
        <v>0.86</v>
      </c>
      <c r="AZ22" s="269">
        <f t="shared" si="8"/>
        <v>0.88</v>
      </c>
      <c r="BA22" s="269">
        <f t="shared" si="8"/>
        <v>0.89</v>
      </c>
      <c r="BB22" s="269">
        <f t="shared" si="8"/>
        <v>0.9</v>
      </c>
      <c r="BC22" s="269">
        <f t="shared" si="8"/>
        <v>0.91</v>
      </c>
      <c r="BD22" s="269">
        <f t="shared" si="8"/>
        <v>0.91</v>
      </c>
      <c r="BE22" s="269">
        <f t="shared" si="8"/>
        <v>0.92</v>
      </c>
      <c r="BF22" s="269">
        <f t="shared" si="8"/>
        <v>0.92</v>
      </c>
      <c r="BG22" s="269">
        <f t="shared" si="8"/>
        <v>0.93</v>
      </c>
      <c r="BH22" s="269">
        <f t="shared" si="8"/>
        <v>0.93</v>
      </c>
      <c r="BI22" s="269">
        <f t="shared" si="8"/>
        <v>0.94</v>
      </c>
      <c r="BJ22" s="269">
        <f t="shared" si="8"/>
        <v>0.94</v>
      </c>
      <c r="BK22" s="269">
        <f t="shared" si="8"/>
        <v>0.94</v>
      </c>
      <c r="BL22" s="269">
        <f t="shared" si="8"/>
        <v>0.95</v>
      </c>
      <c r="BM22" s="269">
        <f t="shared" si="8"/>
        <v>0.95</v>
      </c>
      <c r="BN22" s="269">
        <f t="shared" si="8"/>
        <v>0.95</v>
      </c>
      <c r="BO22" s="269">
        <f t="shared" si="8"/>
        <v>0.95</v>
      </c>
      <c r="BP22" s="269">
        <f t="shared" si="8"/>
        <v>0.95</v>
      </c>
      <c r="BQ22" s="269">
        <f t="shared" si="8"/>
        <v>0.95</v>
      </c>
      <c r="BR22" s="225"/>
      <c r="BS22" s="225"/>
      <c r="BT22" s="225" t="s">
        <v>589</v>
      </c>
      <c r="BU22" s="225" t="s">
        <v>569</v>
      </c>
      <c r="BV22" s="225" t="s">
        <v>590</v>
      </c>
      <c r="BW22" s="225" t="s">
        <v>590</v>
      </c>
      <c r="BX22" s="225" t="s">
        <v>590</v>
      </c>
      <c r="BY22" s="225" t="s">
        <v>590</v>
      </c>
      <c r="BZ22" s="225" t="s">
        <v>576</v>
      </c>
      <c r="CA22" s="326" t="s">
        <v>576</v>
      </c>
      <c r="CB22" s="268"/>
      <c r="CC22" s="268"/>
      <c r="CD22" s="268"/>
      <c r="CE22" s="268"/>
      <c r="CF22" s="330" t="s">
        <v>660</v>
      </c>
      <c r="CG22" s="330" t="s">
        <v>659</v>
      </c>
      <c r="CH22" s="330">
        <v>605.79999999999995</v>
      </c>
    </row>
    <row r="23" spans="1:86" s="221" customFormat="1" ht="46.5" customHeight="1" x14ac:dyDescent="0.25">
      <c r="A23" s="256" t="s">
        <v>651</v>
      </c>
      <c r="B23" s="257"/>
      <c r="C23" s="225" t="s">
        <v>566</v>
      </c>
      <c r="D23" s="225"/>
      <c r="E23" s="258"/>
      <c r="F23" s="258"/>
      <c r="G23" s="225">
        <v>625</v>
      </c>
      <c r="H23" s="225"/>
      <c r="I23" s="225">
        <v>9</v>
      </c>
      <c r="J23" s="225">
        <v>45</v>
      </c>
      <c r="K23" s="273">
        <f>G23/I23/((J23/20)^2)*3.14</f>
        <v>43.072702331961587</v>
      </c>
      <c r="L23" s="259">
        <v>0.25</v>
      </c>
      <c r="M23" s="259">
        <v>0.3</v>
      </c>
      <c r="N23" s="259">
        <v>0.35</v>
      </c>
      <c r="O23" s="259">
        <v>0.4</v>
      </c>
      <c r="P23" s="259">
        <v>0.45</v>
      </c>
      <c r="Q23" s="259">
        <v>0.5</v>
      </c>
      <c r="R23" s="259">
        <v>0.55000000000000004</v>
      </c>
      <c r="S23" s="261"/>
      <c r="T23" s="261"/>
      <c r="U23" s="261"/>
      <c r="V23" s="260"/>
      <c r="W23" s="262">
        <v>600</v>
      </c>
      <c r="X23" s="262">
        <v>1500</v>
      </c>
      <c r="Y23" s="262">
        <v>2</v>
      </c>
      <c r="Z23" s="262">
        <v>50</v>
      </c>
      <c r="AA23" s="284">
        <v>50000</v>
      </c>
      <c r="AB23" s="263">
        <v>0.15</v>
      </c>
      <c r="AC23" s="225">
        <v>3.5</v>
      </c>
      <c r="AD23" s="281">
        <v>0.1</v>
      </c>
      <c r="AE23" s="225"/>
      <c r="AF23" s="262">
        <v>20</v>
      </c>
      <c r="AG23" s="262">
        <v>80</v>
      </c>
      <c r="AH23" s="264">
        <v>80</v>
      </c>
      <c r="AI23" s="265" t="s">
        <v>567</v>
      </c>
      <c r="AJ23" s="262">
        <v>2.5</v>
      </c>
      <c r="AK23" s="262">
        <v>4</v>
      </c>
      <c r="AL23" s="262">
        <v>0.75</v>
      </c>
      <c r="AM23" s="227">
        <v>0.96</v>
      </c>
      <c r="AN23" s="227">
        <v>0.96</v>
      </c>
      <c r="AO23" s="227">
        <v>0.97</v>
      </c>
      <c r="AP23" s="227">
        <v>0.96</v>
      </c>
      <c r="AQ23" s="227">
        <v>0.98</v>
      </c>
      <c r="AR23" s="227">
        <v>0.94</v>
      </c>
      <c r="AS23" s="274">
        <v>0.1</v>
      </c>
      <c r="AT23" s="269">
        <f t="shared" si="8"/>
        <v>0.78</v>
      </c>
      <c r="AU23" s="269">
        <f t="shared" si="8"/>
        <v>0.81</v>
      </c>
      <c r="AV23" s="269">
        <f t="shared" si="8"/>
        <v>0.82</v>
      </c>
      <c r="AW23" s="269">
        <f t="shared" si="8"/>
        <v>0.84</v>
      </c>
      <c r="AX23" s="269">
        <f t="shared" si="8"/>
        <v>0.85</v>
      </c>
      <c r="AY23" s="269">
        <f t="shared" si="8"/>
        <v>0.86</v>
      </c>
      <c r="AZ23" s="269">
        <f t="shared" si="8"/>
        <v>0.88</v>
      </c>
      <c r="BA23" s="269">
        <f t="shared" si="8"/>
        <v>0.89</v>
      </c>
      <c r="BB23" s="269">
        <f t="shared" si="8"/>
        <v>0.9</v>
      </c>
      <c r="BC23" s="269">
        <f t="shared" si="8"/>
        <v>0.91</v>
      </c>
      <c r="BD23" s="269">
        <f t="shared" si="8"/>
        <v>0.91</v>
      </c>
      <c r="BE23" s="269">
        <f t="shared" si="8"/>
        <v>0.92</v>
      </c>
      <c r="BF23" s="269">
        <f t="shared" si="8"/>
        <v>0.92</v>
      </c>
      <c r="BG23" s="269">
        <f t="shared" si="8"/>
        <v>0.93</v>
      </c>
      <c r="BH23" s="269">
        <f t="shared" si="8"/>
        <v>0.93</v>
      </c>
      <c r="BI23" s="270">
        <f t="shared" si="8"/>
        <v>0.94</v>
      </c>
      <c r="BJ23" s="270">
        <f t="shared" si="8"/>
        <v>0.94</v>
      </c>
      <c r="BK23" s="270">
        <f t="shared" si="8"/>
        <v>0.94</v>
      </c>
      <c r="BL23" s="270">
        <f t="shared" si="8"/>
        <v>0.95</v>
      </c>
      <c r="BM23" s="270">
        <f t="shared" si="8"/>
        <v>0.95</v>
      </c>
      <c r="BN23" s="270">
        <f t="shared" si="8"/>
        <v>0.95</v>
      </c>
      <c r="BO23" s="270">
        <f t="shared" si="8"/>
        <v>0.95</v>
      </c>
      <c r="BP23" s="269">
        <f t="shared" si="8"/>
        <v>0.95</v>
      </c>
      <c r="BQ23" s="269">
        <f t="shared" si="8"/>
        <v>0.95</v>
      </c>
      <c r="BR23" s="225">
        <v>57.98</v>
      </c>
      <c r="BS23" s="225">
        <v>114</v>
      </c>
      <c r="BT23" s="225" t="s">
        <v>568</v>
      </c>
      <c r="BU23" s="225" t="s">
        <v>569</v>
      </c>
      <c r="BV23" s="225" t="s">
        <v>591</v>
      </c>
      <c r="BW23" s="225" t="s">
        <v>591</v>
      </c>
      <c r="BX23" s="225" t="s">
        <v>591</v>
      </c>
      <c r="BY23" s="225" t="s">
        <v>591</v>
      </c>
      <c r="BZ23" s="321" t="s">
        <v>575</v>
      </c>
      <c r="CA23" s="327" t="s">
        <v>575</v>
      </c>
      <c r="CB23" s="331" t="s">
        <v>655</v>
      </c>
      <c r="CC23" s="332" t="s">
        <v>657</v>
      </c>
      <c r="CD23" s="331" t="s">
        <v>656</v>
      </c>
      <c r="CE23" s="331" t="s">
        <v>658</v>
      </c>
      <c r="CF23" s="330" t="s">
        <v>660</v>
      </c>
      <c r="CG23" s="330" t="s">
        <v>659</v>
      </c>
      <c r="CH23" s="330">
        <v>1326</v>
      </c>
    </row>
  </sheetData>
  <mergeCells count="15">
    <mergeCell ref="AS5:BQ5"/>
    <mergeCell ref="B3:D3"/>
    <mergeCell ref="I5:K5"/>
    <mergeCell ref="L5:V5"/>
    <mergeCell ref="W5:X5"/>
    <mergeCell ref="Y5:AL5"/>
    <mergeCell ref="BR6:BT6"/>
    <mergeCell ref="BV6:CA6"/>
    <mergeCell ref="AB7:AD7"/>
    <mergeCell ref="I6:K6"/>
    <mergeCell ref="Y6:Z6"/>
    <mergeCell ref="AB6:AE6"/>
    <mergeCell ref="AF6:AH6"/>
    <mergeCell ref="AJ6:AK6"/>
    <mergeCell ref="AO6:AP6"/>
  </mergeCells>
  <pageMargins left="0.70866141732283472" right="0.70866141732283472" top="0.78740157480314965" bottom="0.78740157480314965" header="0.31496062992125984" footer="0.31496062992125984"/>
  <pageSetup paperSize="8" scale="31"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G46"/>
  <sheetViews>
    <sheetView showGridLines="0" zoomScaleNormal="100" zoomScalePageLayoutView="90" workbookViewId="0">
      <selection activeCell="C10" sqref="C10"/>
    </sheetView>
  </sheetViews>
  <sheetFormatPr baseColWidth="10" defaultColWidth="0" defaultRowHeight="13.2" zeroHeight="1" x14ac:dyDescent="0.25"/>
  <cols>
    <col min="1" max="1" width="11.44140625" customWidth="1"/>
    <col min="2" max="2" width="6.88671875" customWidth="1"/>
    <col min="3" max="3" width="57.44140625" customWidth="1"/>
    <col min="4" max="4" width="11" customWidth="1"/>
    <col min="5" max="5" width="5" customWidth="1"/>
    <col min="6" max="6" width="4.5546875" customWidth="1"/>
    <col min="7" max="7" width="10.109375" customWidth="1"/>
    <col min="8" max="16384" width="11.44140625" hidden="1"/>
  </cols>
  <sheetData>
    <row r="1" spans="1:7" x14ac:dyDescent="0.25"/>
    <row r="2" spans="1:7" x14ac:dyDescent="0.25"/>
    <row r="3" spans="1:7" x14ac:dyDescent="0.25"/>
    <row r="4" spans="1:7" ht="63.6" customHeight="1" x14ac:dyDescent="0.4">
      <c r="B4" s="458" t="s">
        <v>399</v>
      </c>
      <c r="C4" s="458"/>
    </row>
    <row r="5" spans="1:7" ht="18.75" customHeight="1" thickBot="1" x14ac:dyDescent="0.35">
      <c r="B5" s="49"/>
      <c r="C5" s="1"/>
    </row>
    <row r="6" spans="1:7" x14ac:dyDescent="0.25">
      <c r="A6" s="71"/>
      <c r="B6" s="454" t="s">
        <v>165</v>
      </c>
      <c r="C6" s="454" t="s">
        <v>166</v>
      </c>
      <c r="D6" s="72" t="s">
        <v>167</v>
      </c>
      <c r="E6" s="456" t="s">
        <v>168</v>
      </c>
      <c r="F6" s="72" t="s">
        <v>169</v>
      </c>
      <c r="G6" s="72"/>
    </row>
    <row r="7" spans="1:7" ht="13.8" thickBot="1" x14ac:dyDescent="0.3">
      <c r="A7" s="73"/>
      <c r="B7" s="455"/>
      <c r="C7" s="455"/>
      <c r="D7" s="74"/>
      <c r="E7" s="457"/>
      <c r="F7" s="74"/>
      <c r="G7" s="74"/>
    </row>
    <row r="8" spans="1:7" x14ac:dyDescent="0.25">
      <c r="A8" s="75"/>
      <c r="B8" s="76"/>
      <c r="C8" s="77"/>
      <c r="D8" s="78"/>
      <c r="E8" s="77"/>
      <c r="F8" s="453"/>
      <c r="G8" s="453"/>
    </row>
    <row r="9" spans="1:7" ht="12.75" customHeight="1" x14ac:dyDescent="0.25">
      <c r="A9" s="75"/>
      <c r="B9" s="79" t="s">
        <v>202</v>
      </c>
      <c r="C9" s="80" t="str">
        <f>IF(Berechnungen!F57=1,IF(AND('Design Tool'!P28&lt;=850,'Design Tool'!P21=Berechnungen!C89),VLOOKUP('Design Tool'!H4,Identnumbers!B5:F32,3,FALSE),IF(AND('Design Tool'!P28&gt;850,'Design Tool'!P21=Berechnungen!C89),VLOOKUP('Design Tool'!H4,Identnumbers!B5:F32,4,FALSE), IF('Design Tool'!P21=Berechnungen!C90,VLOOKUP('Design Tool'!H4,Identnumbers!B5:F32,5,FALSE),IF('Design Tool'!P21=Berechnungen!C91,VLOOKUP('Design Tool'!H4,Identnumbers!B5:F32,2,FALSE))))),"XXXX")</f>
        <v>64075035</v>
      </c>
      <c r="D9" s="81"/>
      <c r="E9" s="82">
        <f>'Design Tool'!P27</f>
        <v>1</v>
      </c>
      <c r="F9" s="83" t="s">
        <v>171</v>
      </c>
      <c r="G9" s="84"/>
    </row>
    <row r="10" spans="1:7" ht="12.75" customHeight="1" x14ac:dyDescent="0.25">
      <c r="A10" s="75"/>
      <c r="B10" s="82"/>
      <c r="C10" s="82" t="str">
        <f>IF('Design Tool'!P21=Berechnungen!C91,"SALINO bare shaft pump","SALINO Pressure Center")</f>
        <v>SALINO Pressure Center</v>
      </c>
      <c r="D10" s="82"/>
      <c r="E10" s="82"/>
      <c r="F10" s="83"/>
      <c r="G10" s="82"/>
    </row>
    <row r="11" spans="1:7" ht="12.75" customHeight="1" x14ac:dyDescent="0.25">
      <c r="A11" s="75"/>
      <c r="B11" s="82"/>
      <c r="C11" s="85" t="s">
        <v>170</v>
      </c>
      <c r="D11" s="86"/>
      <c r="E11" s="82"/>
      <c r="F11" s="83"/>
      <c r="G11" s="82"/>
    </row>
    <row r="12" spans="1:7" ht="12.75" customHeight="1" x14ac:dyDescent="0.25">
      <c r="A12" s="75"/>
      <c r="B12" s="82"/>
      <c r="C12" s="85" t="str">
        <f>"Recovery Rate "&amp;TEXT('Design Tool'!H4,"0")&amp;" %"</f>
        <v>Recovery Rate 35 %</v>
      </c>
      <c r="D12" s="87"/>
      <c r="E12" s="82"/>
      <c r="F12" s="83"/>
      <c r="G12" s="82"/>
    </row>
    <row r="13" spans="1:7" ht="12.75" customHeight="1" x14ac:dyDescent="0.25">
      <c r="A13" s="75"/>
      <c r="B13" s="82"/>
      <c r="C13" s="87"/>
      <c r="D13" s="87"/>
      <c r="E13" s="82"/>
      <c r="F13" s="83"/>
      <c r="G13" s="82"/>
    </row>
    <row r="14" spans="1:7" ht="12.75" customHeight="1" x14ac:dyDescent="0.25">
      <c r="A14" s="75"/>
      <c r="B14" s="88" t="str">
        <f>IF('Design Tool'!P21=Berechnungen!C91,"","00110")</f>
        <v>00110</v>
      </c>
      <c r="C14" s="89" t="str">
        <f>IF('Design Tool'!P21=Berechnungen!C91,"",VLOOKUP(C9,Identnumbers!C36:Z147,2,FALSE))</f>
        <v>MAT.-NR. 75 kW Motor</v>
      </c>
      <c r="D14" s="85"/>
      <c r="E14" s="85">
        <f>IF('Design Tool'!P21=Berechnungen!C91,"",'Design Tool'!P27)</f>
        <v>1</v>
      </c>
      <c r="F14" s="90" t="str">
        <f>IF('Design Tool'!P21=Berechnungen!C91,"","PC")</f>
        <v>PC</v>
      </c>
      <c r="G14" s="82"/>
    </row>
    <row r="15" spans="1:7" ht="12.75" customHeight="1" x14ac:dyDescent="0.25">
      <c r="A15" s="75"/>
      <c r="B15" s="91"/>
      <c r="C15" s="85" t="str">
        <f>IF('Design Tool'!P21=Berechnungen!C91,"",IF('Design Tool'!P21=Berechnungen!C90,"",VLOOKUP('Quotation data'!C9,Identnumbers!C36:Z147,3,FALSE)))</f>
        <v>Squirrel-Cage-Motor</v>
      </c>
      <c r="D15" s="85"/>
      <c r="E15" s="82"/>
      <c r="F15" s="83"/>
      <c r="G15" s="82"/>
    </row>
    <row r="16" spans="1:7" ht="12.75" customHeight="1" x14ac:dyDescent="0.25">
      <c r="A16" s="75"/>
      <c r="B16" s="91"/>
      <c r="C16" s="85" t="str">
        <f>IF('Design Tool'!P21=Berechnungen!C91,"",IF('Design Tool'!P21=Berechnungen!C90,"",VLOOKUP('Quotation data'!C9,Identnumbers!C36:Z147,4,FALSE)))</f>
        <v>Premium Efficiency IE3; self ventilated; Isulation 155(F) to 130(B)</v>
      </c>
      <c r="D16" s="85"/>
      <c r="E16" s="82"/>
      <c r="F16" s="83"/>
      <c r="G16" s="82"/>
    </row>
    <row r="17" spans="1:7" ht="12.75" customHeight="1" x14ac:dyDescent="0.25">
      <c r="A17" s="75"/>
      <c r="B17" s="91"/>
      <c r="C17" s="85" t="str">
        <f>IF('Design Tool'!P21=Berechnungen!C91,"",IF('Design Tool'!P21=Berechnungen!C90,"",VLOOKUP('Quotation data'!C9,Identnumbers!C36:Z147,5,FALSE)))</f>
        <v>IP55 * 4pole * BG280S * IMB35 * 75kW (50 Hz) * 90kW (60Hz)</v>
      </c>
      <c r="D17" s="85"/>
      <c r="E17" s="82"/>
      <c r="F17" s="83"/>
      <c r="G17" s="82"/>
    </row>
    <row r="18" spans="1:7" ht="12.75" customHeight="1" x14ac:dyDescent="0.25">
      <c r="A18" s="75"/>
      <c r="B18" s="91"/>
      <c r="C18" s="85" t="str">
        <f>IF('Design Tool'!P21=Berechnungen!C91,"",IF('Design Tool'!P21=Berechnungen!C90,"",VLOOKUP('Quotation data'!C9,Identnumbers!C36:Z147,6,FALSE)))</f>
        <v>3 AC 50Hz 400VD/690VY * 3 AC 60Hz 460VD</v>
      </c>
      <c r="D18" s="85"/>
      <c r="E18" s="82"/>
      <c r="F18" s="83"/>
      <c r="G18" s="82"/>
    </row>
    <row r="19" spans="1:7" ht="12.75" customHeight="1" x14ac:dyDescent="0.25">
      <c r="A19" s="75"/>
      <c r="B19" s="91"/>
      <c r="C19" s="85" t="str">
        <f>IF('Design Tool'!P21=Berechnungen!C91,"",IF('Design Tool'!P21=Berechnungen!C90,"",VLOOKUP('Quotation data'!C9,Identnumbers!C36:Z147,7,FALSE)))</f>
        <v>Frame material: grey cast iron</v>
      </c>
      <c r="D19" s="85"/>
      <c r="E19" s="90"/>
      <c r="F19" s="83"/>
      <c r="G19" s="82"/>
    </row>
    <row r="20" spans="1:7" ht="12.75" customHeight="1" x14ac:dyDescent="0.25">
      <c r="A20" s="75"/>
      <c r="B20" s="91"/>
      <c r="C20" s="85" t="str">
        <f>IF('Design Tool'!P21=Berechnungen!C91,"",IF('Design Tool'!P21=Berechnungen!C90,"",VLOOKUP('Quotation data'!C9,Identnumbers!C36:Z147,8,FALSE)))</f>
        <v>paint finish resistant to salt-laden air</v>
      </c>
      <c r="D20" s="85"/>
      <c r="E20" s="90"/>
      <c r="F20" s="83"/>
      <c r="G20" s="82"/>
    </row>
    <row r="21" spans="1:7" x14ac:dyDescent="0.25">
      <c r="A21" s="75"/>
      <c r="B21" s="92"/>
      <c r="C21" s="85" t="str">
        <f>IF('Design Tool'!P21=Berechnungen!C91,"",IF('Design Tool'!P21=Berechnungen!C90,"",VLOOKUP('Quotation data'!C9,Identnumbers!C36:Z147,9,FALSE)))</f>
        <v>motor protection 3 PTC thermistors</v>
      </c>
      <c r="D21" s="75"/>
      <c r="E21" s="90"/>
      <c r="F21" s="75"/>
      <c r="G21" s="75"/>
    </row>
    <row r="22" spans="1:7" x14ac:dyDescent="0.25">
      <c r="A22" s="75"/>
      <c r="B22" s="92"/>
      <c r="C22" s="75"/>
      <c r="D22" s="75"/>
      <c r="E22" s="90"/>
      <c r="F22" s="90"/>
      <c r="G22" s="75"/>
    </row>
    <row r="23" spans="1:7" x14ac:dyDescent="0.25">
      <c r="A23" s="75"/>
      <c r="B23" s="93" t="str">
        <f>IF('Design Tool'!P21=Berechnungen!C91,"","00120")</f>
        <v>00120</v>
      </c>
      <c r="C23" s="89" t="str">
        <f>IF('Design Tool'!P21=Berechnungen!C91,"",VLOOKUP(C9,Identnumbers!C36:Z147,10,FALSE))</f>
        <v>01554711</v>
      </c>
      <c r="D23" s="75"/>
      <c r="E23" s="90">
        <f>IF('Design Tool'!P21=Berechnungen!C91,"",'Design Tool'!P27)</f>
        <v>1</v>
      </c>
      <c r="F23" s="90" t="str">
        <f>IF('Design Tool'!P21=Berechnungen!C91,"","PC")</f>
        <v>PC</v>
      </c>
      <c r="G23" s="75"/>
    </row>
    <row r="24" spans="1:7" x14ac:dyDescent="0.25">
      <c r="A24" s="75"/>
      <c r="B24" s="94"/>
      <c r="C24" s="85" t="str">
        <f>IF('Design Tool'!P21=Berechnungen!C91,"",IF('Design Tool'!P21=Berechnungen!C90,"",VLOOKUP('Quotation data'!C9,Identnumbers!C36:Z147,11,FALSE)))</f>
        <v>Bellhousing PG550</v>
      </c>
      <c r="D24" s="75"/>
      <c r="E24" s="90"/>
      <c r="F24" s="90"/>
      <c r="G24" s="75"/>
    </row>
    <row r="25" spans="1:7" x14ac:dyDescent="0.25">
      <c r="A25" s="75"/>
      <c r="B25" s="94"/>
      <c r="C25" s="75"/>
      <c r="D25" s="75"/>
      <c r="E25" s="90"/>
      <c r="F25" s="90"/>
      <c r="G25" s="75"/>
    </row>
    <row r="26" spans="1:7" x14ac:dyDescent="0.25">
      <c r="A26" s="75"/>
      <c r="B26" s="93" t="str">
        <f>IF('Design Tool'!P21=Berechnungen!C91,"","00130")</f>
        <v>00130</v>
      </c>
      <c r="C26" s="89" t="str">
        <f>IF('Design Tool'!P21=Berechnungen!C91,"",VLOOKUP(C9,Identnumbers!C36:Z147,12,FALSE))</f>
        <v>01554712</v>
      </c>
      <c r="D26" s="75"/>
      <c r="E26" s="90">
        <f>IF('Design Tool'!P21=Berechnungen!C91,"",'Design Tool'!P27)</f>
        <v>1</v>
      </c>
      <c r="F26" s="90" t="str">
        <f>IF('Design Tool'!P21=Berechnungen!C91,"","PC")</f>
        <v>PC</v>
      </c>
      <c r="G26" s="75"/>
    </row>
    <row r="27" spans="1:7" x14ac:dyDescent="0.25">
      <c r="A27" s="75"/>
      <c r="B27" s="94"/>
      <c r="C27" s="85" t="str">
        <f>IF('Design Tool'!P21=Berechnungen!C91,"",IF('Design Tool'!P21=Berechnungen!C90,"",VLOOKUP('Quotation data'!C9,Identnumbers!C36:Z147,13,FALSE)))</f>
        <v>Flexible Coupling Bowex I 80</v>
      </c>
      <c r="D27" s="75"/>
      <c r="E27" s="90"/>
      <c r="F27" s="90"/>
      <c r="G27" s="75"/>
    </row>
    <row r="28" spans="1:7" x14ac:dyDescent="0.25">
      <c r="A28" s="75"/>
      <c r="B28" s="94"/>
      <c r="C28" s="75"/>
      <c r="D28" s="75"/>
      <c r="E28" s="90"/>
      <c r="F28" s="90"/>
      <c r="G28" s="75"/>
    </row>
    <row r="29" spans="1:7" x14ac:dyDescent="0.25">
      <c r="A29" s="75"/>
      <c r="B29" s="93" t="str">
        <f>IF('Design Tool'!P21=Berechnungen!C91,"","00140")</f>
        <v>00140</v>
      </c>
      <c r="C29" s="89" t="str">
        <f>IF('Design Tool'!P21=Berechnungen!C91,"",VLOOKUP(C9,Identnumbers!C36:Z147,14,FALSE))</f>
        <v>01553741</v>
      </c>
      <c r="D29" s="75"/>
      <c r="E29" s="90">
        <f>IF('Design Tool'!P21=Berechnungen!C91,"",'Design Tool'!P27)</f>
        <v>1</v>
      </c>
      <c r="F29" s="90" t="str">
        <f>IF('Design Tool'!P21=Berechnungen!C91,"","PC")</f>
        <v>PC</v>
      </c>
      <c r="G29" s="75"/>
    </row>
    <row r="30" spans="1:7" x14ac:dyDescent="0.25">
      <c r="A30" s="75"/>
      <c r="B30" s="94"/>
      <c r="C30" s="85" t="str">
        <f>IF('Design Tool'!P21=Berechnungen!C91,"",IF('Design Tool'!P21=Berechnungen!C90,"",VLOOKUP('Quotation data'!C9,Identnumbers!C36:Z147,15,FALSE)))</f>
        <v>Mountingframe 270x600x2075</v>
      </c>
      <c r="D30" s="75"/>
      <c r="E30" s="90"/>
      <c r="F30" s="90"/>
      <c r="G30" s="75"/>
    </row>
    <row r="31" spans="1:7" x14ac:dyDescent="0.25">
      <c r="A31" s="75"/>
      <c r="B31" s="94"/>
      <c r="C31" s="75"/>
      <c r="D31" s="75"/>
      <c r="E31" s="75"/>
      <c r="F31" s="90"/>
      <c r="G31" s="75"/>
    </row>
    <row r="32" spans="1:7" x14ac:dyDescent="0.25">
      <c r="A32" s="75"/>
      <c r="B32" s="95" t="str">
        <f>IF(OR('Design Tool'!P23=Berechnungen!C97,'Design Tool'!P21=Berechnungen!C91),"","00200")</f>
        <v>00200</v>
      </c>
      <c r="C32" s="80" t="str">
        <f>IF(OR('Design Tool'!P23=Berechnungen!C97,'Design Tool'!P21=Berechnungen!C91),"",IF('Design Tool'!P23=Berechnungen!C96,Identnumbers!D148,VLOOKUP(C9,Identnumbers!C36:Z147,16,FALSE)))</f>
        <v>MAT.-NR. Pumpdrive R 75 kW</v>
      </c>
      <c r="D32" s="75"/>
      <c r="E32" s="83">
        <f>IF(OR('Design Tool'!P23=Berechnungen!C97,'Design Tool'!P21=Berechnungen!C91),"",'Design Tool'!P27)</f>
        <v>1</v>
      </c>
      <c r="F32" s="83" t="str">
        <f>IF(OR('Design Tool'!P23=Berechnungen!CW97,'Design Tool'!P21=Berechnungen!C91),"","PC")</f>
        <v>PC</v>
      </c>
      <c r="G32" s="75"/>
    </row>
    <row r="33" spans="1:7" x14ac:dyDescent="0.25">
      <c r="A33" s="75"/>
      <c r="B33" s="79"/>
      <c r="C33" s="85" t="str">
        <f>IF(OR('Design Tool'!P23=Berechnungen!C97,'Design Tool'!P23=Berechnungen!C96,'Design Tool'!P21=Berechnungen!C90,'Design Tool'!P21=Berechnungen!C91),"",VLOOKUP(C9,Identnumbers!C36:Z147,17,FALSE))</f>
        <v>Frequency Converter PumpDrive R (KSB202)</v>
      </c>
      <c r="D33" s="75"/>
      <c r="E33" s="75"/>
      <c r="F33" s="90"/>
      <c r="G33" s="75"/>
    </row>
    <row r="34" spans="1:7" x14ac:dyDescent="0.25">
      <c r="A34" s="75"/>
      <c r="B34" s="79"/>
      <c r="C34" s="85" t="str">
        <f>IF(OR('Design Tool'!P23=Berechnungen!C97,'Design Tool'!P23=Berechnungen!C96,'Design Tool'!P21=Berechnungen!C90,'Design Tool'!P21=Berechnungen!C91),"",VLOOKUP(C9,Identnumbers!C36:Z147,18,FALSE))</f>
        <v>3AC 380-480 V ±10 % * 50/60 Hz</v>
      </c>
      <c r="D34" s="75"/>
      <c r="E34" s="75"/>
      <c r="F34" s="90"/>
      <c r="G34" s="75"/>
    </row>
    <row r="35" spans="1:7" x14ac:dyDescent="0.25">
      <c r="A35" s="75"/>
      <c r="B35" s="79"/>
      <c r="C35" s="85" t="str">
        <f>IF(OR('Design Tool'!P23=Berechnungen!C97,'Design Tool'!P23=Berechnungen!C96,'Design Tool'!P21=Berechnungen!C90,'Design Tool'!P21=Berechnungen!C91),"",VLOOKUP(C9,Identnumbers!C36:Z147,19,FALSE))</f>
        <v>IP20 * 75 kW * I at 400V=61,0A</v>
      </c>
      <c r="D35" s="75"/>
      <c r="E35" s="75"/>
      <c r="F35" s="90"/>
      <c r="G35" s="75"/>
    </row>
    <row r="36" spans="1:7" x14ac:dyDescent="0.25">
      <c r="A36" s="75"/>
      <c r="B36" s="79"/>
      <c r="C36" s="85" t="str">
        <f>IF(OR('Design Tool'!P23=Berechnungen!C97,'Design Tool'!P23=Berechnungen!C96,'Design Tool'!P21=Berechnungen!C90,'Design Tool'!P21=Berechnungen!C91),"",VLOOKUP(C9,Identnumbers!C36:Z147,20,FALSE))</f>
        <v>Maximum ambient temperature +50°C</v>
      </c>
      <c r="D36" s="75"/>
      <c r="E36" s="75"/>
      <c r="F36" s="90"/>
      <c r="G36" s="75"/>
    </row>
    <row r="37" spans="1:7" x14ac:dyDescent="0.25">
      <c r="A37" s="75"/>
      <c r="B37" s="79"/>
      <c r="C37" s="85" t="str">
        <f>IF(OR('Design Tool'!P23=Berechnungen!C97,'Design Tool'!P23=Berechnungen!C96,'Design Tool'!P21=Berechnungen!C90,'Design Tool'!P21=Berechnungen!C91),"",VLOOKUP(C9,Identnumbers!C36:Z147,21,FALSE))</f>
        <v>Dimensions [mm] H=650 x B=242 x T=260</v>
      </c>
      <c r="D37" s="75"/>
      <c r="E37" s="75"/>
      <c r="F37" s="75"/>
      <c r="G37" s="75"/>
    </row>
    <row r="38" spans="1:7" x14ac:dyDescent="0.25">
      <c r="A38" s="75"/>
      <c r="B38" s="79"/>
      <c r="C38" s="75"/>
      <c r="D38" s="75"/>
      <c r="E38" s="75"/>
      <c r="F38" s="75"/>
      <c r="G38" s="75"/>
    </row>
    <row r="39" spans="1:7" x14ac:dyDescent="0.25">
      <c r="A39" s="75"/>
      <c r="B39" s="79"/>
      <c r="C39" s="75"/>
      <c r="D39" s="75"/>
      <c r="E39" s="75"/>
      <c r="F39" s="75"/>
      <c r="G39" s="75"/>
    </row>
    <row r="40" spans="1:7" x14ac:dyDescent="0.25">
      <c r="A40" s="75"/>
      <c r="B40" s="79"/>
      <c r="C40" s="75"/>
      <c r="D40" s="75"/>
      <c r="E40" s="75"/>
      <c r="F40" s="75"/>
      <c r="G40" s="75"/>
    </row>
    <row r="41" spans="1:7" x14ac:dyDescent="0.25">
      <c r="A41" s="75"/>
      <c r="B41" s="79"/>
      <c r="C41" s="75"/>
      <c r="D41" s="75"/>
      <c r="E41" s="75"/>
      <c r="F41" s="75"/>
      <c r="G41" s="75"/>
    </row>
    <row r="42" spans="1:7" hidden="1" x14ac:dyDescent="0.25">
      <c r="B42" s="53"/>
    </row>
    <row r="43" spans="1:7" hidden="1" x14ac:dyDescent="0.25">
      <c r="B43" s="53"/>
    </row>
    <row r="44" spans="1:7" hidden="1" x14ac:dyDescent="0.25">
      <c r="B44" s="53"/>
    </row>
    <row r="45" spans="1:7" hidden="1" x14ac:dyDescent="0.25">
      <c r="B45" s="53"/>
    </row>
    <row r="46" spans="1:7" hidden="1" x14ac:dyDescent="0.25">
      <c r="B46" s="53"/>
    </row>
  </sheetData>
  <sheetProtection algorithmName="SHA-512" hashValue="07wccdVoKXoqpUTWX2lGxKx3cHQRPccAu8ZJwK/Xlvq6EgI+PW07UTnSpQrGZzGajNCyVEQdY+PtniowNFeTPQ==" saltValue="duGF72GBNCQAGWae0FeZyw==" spinCount="100000" sheet="1" objects="1" scenarios="1"/>
  <customSheetViews>
    <customSheetView guid="{CA5DEE9B-8C07-4C66-8968-31FD351A4FB5}" scale="90" showPageBreaks="1" showGridLines="0" hiddenRows="1" hiddenColumns="1" view="pageLayout" topLeftCell="A2">
      <selection activeCell="C9" sqref="C9"/>
      <pageMargins left="0" right="1.0416666666666666E-2" top="0.78740157499999996" bottom="0.78740157499999996" header="0" footer="0.3"/>
      <pageSetup paperSize="9" orientation="portrait" r:id="rId1"/>
      <headerFooter>
        <oddHeader>&amp;C&amp;G</oddHeader>
        <oddFooter>&amp;C&amp;G</oddFooter>
      </headerFooter>
    </customSheetView>
  </customSheetViews>
  <mergeCells count="5">
    <mergeCell ref="F8:G8"/>
    <mergeCell ref="B6:B7"/>
    <mergeCell ref="C6:C7"/>
    <mergeCell ref="E6:E7"/>
    <mergeCell ref="B4:C4"/>
  </mergeCells>
  <pageMargins left="0" right="1.0416666666666666E-2" top="0.78740157499999996" bottom="0.78740157499999996" header="0" footer="0.3"/>
  <pageSetup paperSize="9" scale="96" orientation="portrait" r:id="rId2"/>
  <headerFooter>
    <oddFooter>&amp;C&amp;G</oddFooter>
  </headerFooter>
  <ignoredErrors>
    <ignoredError sqref="B9" numberStoredAsText="1"/>
  </ignoredError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4:Z148"/>
  <sheetViews>
    <sheetView zoomScale="80" zoomScaleNormal="80" workbookViewId="0">
      <selection activeCell="D150" sqref="D150"/>
    </sheetView>
  </sheetViews>
  <sheetFormatPr baseColWidth="10" defaultRowHeight="13.2" x14ac:dyDescent="0.25"/>
  <cols>
    <col min="2" max="2" width="17.44140625" bestFit="1" customWidth="1"/>
    <col min="3" max="3" width="22" customWidth="1"/>
    <col min="4" max="4" width="52.44140625" customWidth="1"/>
    <col min="5" max="5" width="17.5546875" bestFit="1" customWidth="1"/>
    <col min="6" max="6" width="56.109375" customWidth="1"/>
    <col min="7" max="8" width="64" customWidth="1"/>
    <col min="9" max="10" width="53.5546875" customWidth="1"/>
    <col min="11" max="17" width="42.5546875" customWidth="1"/>
    <col min="18" max="23" width="52.88671875" customWidth="1"/>
  </cols>
  <sheetData>
    <row r="4" spans="2:8" s="16" customFormat="1" ht="20.100000000000001" customHeight="1" x14ac:dyDescent="0.25">
      <c r="B4" s="55" t="s">
        <v>6</v>
      </c>
      <c r="C4" s="55" t="s">
        <v>208</v>
      </c>
      <c r="D4" s="55" t="s">
        <v>304</v>
      </c>
      <c r="E4" s="55" t="s">
        <v>331</v>
      </c>
      <c r="F4" s="55" t="s">
        <v>174</v>
      </c>
      <c r="G4" s="103"/>
      <c r="H4" s="103"/>
    </row>
    <row r="5" spans="2:8" x14ac:dyDescent="0.25">
      <c r="B5" s="24">
        <v>25</v>
      </c>
      <c r="C5" s="50" t="s">
        <v>358</v>
      </c>
      <c r="D5" s="70" t="s">
        <v>305</v>
      </c>
      <c r="E5" s="97" t="s">
        <v>332</v>
      </c>
      <c r="F5" s="96" t="s">
        <v>176</v>
      </c>
      <c r="G5" s="102"/>
      <c r="H5" s="52"/>
    </row>
    <row r="6" spans="2:8" x14ac:dyDescent="0.25">
      <c r="B6" s="24">
        <v>26</v>
      </c>
      <c r="C6" s="50" t="s">
        <v>359</v>
      </c>
      <c r="D6" s="70" t="s">
        <v>306</v>
      </c>
      <c r="E6" s="97" t="s">
        <v>333</v>
      </c>
      <c r="F6" s="96" t="s">
        <v>177</v>
      </c>
      <c r="G6" s="102"/>
      <c r="H6" s="52"/>
    </row>
    <row r="7" spans="2:8" x14ac:dyDescent="0.25">
      <c r="B7" s="24">
        <v>27</v>
      </c>
      <c r="C7" s="50" t="s">
        <v>360</v>
      </c>
      <c r="D7" s="70" t="s">
        <v>307</v>
      </c>
      <c r="E7" s="97" t="s">
        <v>334</v>
      </c>
      <c r="F7" s="96" t="s">
        <v>178</v>
      </c>
      <c r="G7" s="102"/>
      <c r="H7" s="52"/>
    </row>
    <row r="8" spans="2:8" x14ac:dyDescent="0.25">
      <c r="B8" s="24">
        <v>28</v>
      </c>
      <c r="C8" s="50" t="s">
        <v>361</v>
      </c>
      <c r="D8" s="70" t="s">
        <v>308</v>
      </c>
      <c r="E8" s="97" t="s">
        <v>335</v>
      </c>
      <c r="F8" s="96" t="s">
        <v>179</v>
      </c>
      <c r="G8" s="102"/>
      <c r="H8" s="52"/>
    </row>
    <row r="9" spans="2:8" x14ac:dyDescent="0.25">
      <c r="B9" s="24">
        <v>29</v>
      </c>
      <c r="C9" s="50" t="s">
        <v>362</v>
      </c>
      <c r="D9" s="70" t="s">
        <v>309</v>
      </c>
      <c r="E9" s="97" t="s">
        <v>336</v>
      </c>
      <c r="F9" s="96" t="s">
        <v>180</v>
      </c>
      <c r="G9" s="102"/>
      <c r="H9" s="52"/>
    </row>
    <row r="10" spans="2:8" x14ac:dyDescent="0.25">
      <c r="B10" s="24">
        <v>30</v>
      </c>
      <c r="C10" s="50" t="s">
        <v>363</v>
      </c>
      <c r="D10" s="70" t="s">
        <v>310</v>
      </c>
      <c r="E10" s="97" t="s">
        <v>337</v>
      </c>
      <c r="F10" s="96" t="s">
        <v>181</v>
      </c>
      <c r="G10" s="102"/>
      <c r="H10" s="52"/>
    </row>
    <row r="11" spans="2:8" x14ac:dyDescent="0.25">
      <c r="B11" s="24">
        <v>31</v>
      </c>
      <c r="C11" s="50" t="s">
        <v>364</v>
      </c>
      <c r="D11" s="70" t="s">
        <v>311</v>
      </c>
      <c r="E11" s="97" t="s">
        <v>338</v>
      </c>
      <c r="F11" s="96" t="s">
        <v>182</v>
      </c>
      <c r="G11" s="102"/>
      <c r="H11" s="52"/>
    </row>
    <row r="12" spans="2:8" x14ac:dyDescent="0.25">
      <c r="B12" s="24">
        <v>32</v>
      </c>
      <c r="C12" s="50" t="s">
        <v>365</v>
      </c>
      <c r="D12" s="70" t="s">
        <v>312</v>
      </c>
      <c r="E12" s="97" t="s">
        <v>339</v>
      </c>
      <c r="F12" s="96" t="s">
        <v>183</v>
      </c>
      <c r="G12" s="102"/>
      <c r="H12" s="52"/>
    </row>
    <row r="13" spans="2:8" x14ac:dyDescent="0.25">
      <c r="B13" s="24">
        <v>33</v>
      </c>
      <c r="C13" s="50" t="s">
        <v>366</v>
      </c>
      <c r="D13" s="70" t="s">
        <v>313</v>
      </c>
      <c r="E13" s="97" t="s">
        <v>340</v>
      </c>
      <c r="F13" s="96" t="s">
        <v>184</v>
      </c>
      <c r="G13" s="102"/>
      <c r="H13" s="52"/>
    </row>
    <row r="14" spans="2:8" x14ac:dyDescent="0.25">
      <c r="B14" s="24">
        <v>34</v>
      </c>
      <c r="C14" s="50" t="s">
        <v>367</v>
      </c>
      <c r="D14" s="70" t="s">
        <v>314</v>
      </c>
      <c r="E14" s="97" t="s">
        <v>341</v>
      </c>
      <c r="F14" s="96" t="s">
        <v>185</v>
      </c>
      <c r="G14" s="102"/>
      <c r="H14" s="52"/>
    </row>
    <row r="15" spans="2:8" x14ac:dyDescent="0.25">
      <c r="B15" s="24">
        <v>35</v>
      </c>
      <c r="C15" s="50" t="s">
        <v>368</v>
      </c>
      <c r="D15" s="70" t="s">
        <v>315</v>
      </c>
      <c r="E15" s="97" t="s">
        <v>342</v>
      </c>
      <c r="F15" s="96" t="s">
        <v>186</v>
      </c>
      <c r="G15" s="102"/>
      <c r="H15" s="52"/>
    </row>
    <row r="16" spans="2:8" x14ac:dyDescent="0.25">
      <c r="B16" s="24">
        <v>36</v>
      </c>
      <c r="C16" s="50" t="s">
        <v>369</v>
      </c>
      <c r="D16" s="70" t="s">
        <v>316</v>
      </c>
      <c r="E16" s="97" t="s">
        <v>343</v>
      </c>
      <c r="F16" s="96" t="s">
        <v>187</v>
      </c>
      <c r="G16" s="102"/>
      <c r="H16" s="52"/>
    </row>
    <row r="17" spans="2:8" x14ac:dyDescent="0.25">
      <c r="B17" s="24">
        <v>37</v>
      </c>
      <c r="C17" s="50" t="s">
        <v>370</v>
      </c>
      <c r="D17" s="70" t="s">
        <v>317</v>
      </c>
      <c r="E17" s="97" t="s">
        <v>344</v>
      </c>
      <c r="F17" s="96" t="s">
        <v>188</v>
      </c>
      <c r="G17" s="102"/>
      <c r="H17" s="52"/>
    </row>
    <row r="18" spans="2:8" x14ac:dyDescent="0.25">
      <c r="B18" s="24">
        <v>38</v>
      </c>
      <c r="C18" s="50" t="s">
        <v>371</v>
      </c>
      <c r="D18" s="70" t="s">
        <v>318</v>
      </c>
      <c r="E18" s="97" t="s">
        <v>345</v>
      </c>
      <c r="F18" s="96" t="s">
        <v>189</v>
      </c>
      <c r="G18" s="102"/>
      <c r="H18" s="52"/>
    </row>
    <row r="19" spans="2:8" x14ac:dyDescent="0.25">
      <c r="B19" s="24">
        <v>39</v>
      </c>
      <c r="C19" s="50" t="s">
        <v>372</v>
      </c>
      <c r="D19" s="70" t="s">
        <v>319</v>
      </c>
      <c r="E19" s="97" t="s">
        <v>346</v>
      </c>
      <c r="F19" s="96" t="s">
        <v>190</v>
      </c>
      <c r="G19" s="102"/>
      <c r="H19" s="52"/>
    </row>
    <row r="20" spans="2:8" x14ac:dyDescent="0.25">
      <c r="B20" s="24">
        <v>40</v>
      </c>
      <c r="C20" s="50" t="s">
        <v>373</v>
      </c>
      <c r="D20" s="70" t="s">
        <v>320</v>
      </c>
      <c r="E20" s="97" t="s">
        <v>347</v>
      </c>
      <c r="F20" s="96" t="s">
        <v>191</v>
      </c>
      <c r="G20" s="102"/>
      <c r="H20" s="52"/>
    </row>
    <row r="21" spans="2:8" x14ac:dyDescent="0.25">
      <c r="B21" s="24">
        <v>41</v>
      </c>
      <c r="C21" s="50" t="s">
        <v>374</v>
      </c>
      <c r="D21" s="70" t="s">
        <v>321</v>
      </c>
      <c r="E21" s="97" t="s">
        <v>348</v>
      </c>
      <c r="F21" s="96" t="s">
        <v>192</v>
      </c>
      <c r="G21" s="102"/>
      <c r="H21" s="52"/>
    </row>
    <row r="22" spans="2:8" x14ac:dyDescent="0.25">
      <c r="B22" s="24">
        <v>42</v>
      </c>
      <c r="C22" s="50" t="s">
        <v>375</v>
      </c>
      <c r="D22" s="70" t="s">
        <v>322</v>
      </c>
      <c r="E22" s="97" t="s">
        <v>349</v>
      </c>
      <c r="F22" s="96" t="s">
        <v>193</v>
      </c>
      <c r="G22" s="102"/>
      <c r="H22" s="52"/>
    </row>
    <row r="23" spans="2:8" x14ac:dyDescent="0.25">
      <c r="B23" s="24">
        <v>43</v>
      </c>
      <c r="C23" s="50" t="s">
        <v>376</v>
      </c>
      <c r="D23" s="70" t="s">
        <v>323</v>
      </c>
      <c r="E23" s="97" t="s">
        <v>350</v>
      </c>
      <c r="F23" s="96" t="s">
        <v>194</v>
      </c>
      <c r="G23" s="102"/>
      <c r="H23" s="52"/>
    </row>
    <row r="24" spans="2:8" x14ac:dyDescent="0.25">
      <c r="B24" s="24">
        <v>44</v>
      </c>
      <c r="C24" s="50" t="s">
        <v>377</v>
      </c>
      <c r="D24" s="70" t="s">
        <v>324</v>
      </c>
      <c r="E24" s="97" t="s">
        <v>351</v>
      </c>
      <c r="F24" s="96" t="s">
        <v>195</v>
      </c>
      <c r="G24" s="102"/>
      <c r="H24" s="52"/>
    </row>
    <row r="25" spans="2:8" x14ac:dyDescent="0.25">
      <c r="B25" s="24">
        <v>45</v>
      </c>
      <c r="C25" s="50" t="s">
        <v>378</v>
      </c>
      <c r="D25" s="70" t="s">
        <v>325</v>
      </c>
      <c r="E25" s="97" t="s">
        <v>352</v>
      </c>
      <c r="F25" s="96" t="s">
        <v>196</v>
      </c>
      <c r="G25" s="102"/>
      <c r="H25" s="52"/>
    </row>
    <row r="26" spans="2:8" x14ac:dyDescent="0.25">
      <c r="B26" s="24">
        <v>46</v>
      </c>
      <c r="C26" s="50" t="s">
        <v>379</v>
      </c>
      <c r="D26" s="70" t="s">
        <v>326</v>
      </c>
      <c r="E26" s="97" t="s">
        <v>353</v>
      </c>
      <c r="F26" s="96" t="s">
        <v>197</v>
      </c>
      <c r="G26" s="102"/>
      <c r="H26" s="52"/>
    </row>
    <row r="27" spans="2:8" x14ac:dyDescent="0.25">
      <c r="B27" s="24">
        <v>47</v>
      </c>
      <c r="C27" s="50" t="s">
        <v>380</v>
      </c>
      <c r="D27" s="70" t="s">
        <v>327</v>
      </c>
      <c r="E27" s="97" t="s">
        <v>354</v>
      </c>
      <c r="F27" s="96" t="s">
        <v>198</v>
      </c>
      <c r="G27" s="102"/>
      <c r="H27" s="52"/>
    </row>
    <row r="28" spans="2:8" x14ac:dyDescent="0.25">
      <c r="B28" s="24">
        <v>48</v>
      </c>
      <c r="C28" s="50" t="s">
        <v>381</v>
      </c>
      <c r="D28" s="70" t="s">
        <v>328</v>
      </c>
      <c r="E28" s="97" t="s">
        <v>355</v>
      </c>
      <c r="F28" s="96" t="s">
        <v>199</v>
      </c>
      <c r="G28" s="102"/>
      <c r="H28" s="52"/>
    </row>
    <row r="29" spans="2:8" x14ac:dyDescent="0.25">
      <c r="B29" s="24">
        <v>49</v>
      </c>
      <c r="C29" s="50" t="s">
        <v>382</v>
      </c>
      <c r="D29" s="70" t="s">
        <v>329</v>
      </c>
      <c r="E29" s="97" t="s">
        <v>356</v>
      </c>
      <c r="F29" s="96" t="s">
        <v>200</v>
      </c>
      <c r="G29" s="102"/>
      <c r="H29" s="52"/>
    </row>
    <row r="30" spans="2:8" x14ac:dyDescent="0.25">
      <c r="B30" s="24">
        <v>50</v>
      </c>
      <c r="C30" s="50" t="s">
        <v>383</v>
      </c>
      <c r="D30" s="70" t="s">
        <v>330</v>
      </c>
      <c r="E30" s="97" t="s">
        <v>357</v>
      </c>
      <c r="F30" s="96" t="s">
        <v>201</v>
      </c>
      <c r="G30" s="102"/>
      <c r="H30" s="52"/>
    </row>
    <row r="31" spans="2:8" x14ac:dyDescent="0.25">
      <c r="B31" s="24">
        <v>55</v>
      </c>
      <c r="C31" s="50" t="s">
        <v>400</v>
      </c>
      <c r="D31" s="70" t="s">
        <v>401</v>
      </c>
      <c r="E31" s="97" t="s">
        <v>402</v>
      </c>
      <c r="F31" s="96" t="s">
        <v>403</v>
      </c>
      <c r="G31" s="102"/>
      <c r="H31" s="52"/>
    </row>
    <row r="32" spans="2:8" x14ac:dyDescent="0.25">
      <c r="B32" s="24">
        <v>75</v>
      </c>
      <c r="C32" s="50" t="s">
        <v>404</v>
      </c>
      <c r="D32" s="70" t="s">
        <v>405</v>
      </c>
      <c r="E32" s="97" t="s">
        <v>406</v>
      </c>
      <c r="F32" s="96" t="s">
        <v>407</v>
      </c>
    </row>
    <row r="34" spans="2:26" x14ac:dyDescent="0.25">
      <c r="B34" t="s">
        <v>293</v>
      </c>
      <c r="C34">
        <v>1</v>
      </c>
      <c r="D34">
        <v>2</v>
      </c>
      <c r="E34">
        <v>3</v>
      </c>
      <c r="F34">
        <v>4</v>
      </c>
      <c r="G34">
        <v>5</v>
      </c>
      <c r="H34">
        <v>6</v>
      </c>
      <c r="I34">
        <v>7</v>
      </c>
      <c r="J34">
        <v>8</v>
      </c>
      <c r="K34">
        <v>9</v>
      </c>
      <c r="L34">
        <v>10</v>
      </c>
      <c r="M34">
        <v>11</v>
      </c>
      <c r="N34">
        <v>12</v>
      </c>
      <c r="O34">
        <v>13</v>
      </c>
      <c r="P34">
        <v>14</v>
      </c>
      <c r="Q34">
        <v>15</v>
      </c>
      <c r="R34">
        <v>16</v>
      </c>
      <c r="S34">
        <v>17</v>
      </c>
      <c r="T34">
        <v>18</v>
      </c>
      <c r="U34">
        <v>19</v>
      </c>
      <c r="V34">
        <v>20</v>
      </c>
      <c r="W34">
        <v>21</v>
      </c>
      <c r="X34">
        <v>22</v>
      </c>
      <c r="Y34">
        <v>23</v>
      </c>
      <c r="Z34">
        <v>24</v>
      </c>
    </row>
    <row r="35" spans="2:26" s="57" customFormat="1" ht="13.8" thickBot="1" x14ac:dyDescent="0.3">
      <c r="C35" s="57" t="s">
        <v>207</v>
      </c>
      <c r="D35" s="56" t="s">
        <v>209</v>
      </c>
      <c r="E35" s="56" t="s">
        <v>212</v>
      </c>
      <c r="F35" s="56" t="s">
        <v>210</v>
      </c>
      <c r="G35" s="56" t="s">
        <v>213</v>
      </c>
      <c r="H35" s="56" t="s">
        <v>221</v>
      </c>
      <c r="I35" s="56" t="s">
        <v>222</v>
      </c>
      <c r="J35" s="56" t="s">
        <v>223</v>
      </c>
      <c r="K35" s="56" t="s">
        <v>224</v>
      </c>
      <c r="L35" s="56" t="s">
        <v>231</v>
      </c>
      <c r="M35" s="56" t="s">
        <v>289</v>
      </c>
      <c r="N35" s="56" t="s">
        <v>232</v>
      </c>
      <c r="O35" s="56" t="s">
        <v>288</v>
      </c>
      <c r="P35" s="56" t="s">
        <v>233</v>
      </c>
      <c r="Q35" s="56" t="s">
        <v>290</v>
      </c>
      <c r="R35" s="56" t="s">
        <v>225</v>
      </c>
      <c r="S35" s="56" t="s">
        <v>226</v>
      </c>
      <c r="T35" s="56" t="s">
        <v>227</v>
      </c>
      <c r="U35" s="56" t="s">
        <v>297</v>
      </c>
      <c r="V35" s="56" t="s">
        <v>298</v>
      </c>
      <c r="W35" s="56" t="s">
        <v>300</v>
      </c>
    </row>
    <row r="36" spans="2:26" x14ac:dyDescent="0.25">
      <c r="B36" s="459" t="s">
        <v>206</v>
      </c>
      <c r="C36" s="50" t="str">
        <f t="shared" ref="C36:C63" si="0">C5</f>
        <v>10625025</v>
      </c>
      <c r="D36" s="59"/>
      <c r="E36" s="59"/>
      <c r="F36" s="60" t="s">
        <v>214</v>
      </c>
      <c r="G36" s="59"/>
      <c r="H36" s="59"/>
      <c r="I36" s="59"/>
      <c r="J36" s="59"/>
      <c r="K36" s="59"/>
      <c r="L36" s="59"/>
      <c r="M36" s="59"/>
      <c r="N36" s="59"/>
      <c r="O36" s="59"/>
      <c r="P36" s="59"/>
      <c r="Q36" s="59"/>
      <c r="R36" s="59"/>
      <c r="S36" s="59"/>
      <c r="T36" s="59"/>
      <c r="U36" s="59"/>
      <c r="V36" s="59"/>
      <c r="W36" s="59"/>
    </row>
    <row r="37" spans="2:26" x14ac:dyDescent="0.25">
      <c r="B37" s="460"/>
      <c r="C37" s="50" t="str">
        <f t="shared" si="0"/>
        <v>10625026</v>
      </c>
      <c r="D37" s="61"/>
      <c r="E37" s="61"/>
      <c r="F37" s="62" t="s">
        <v>214</v>
      </c>
      <c r="G37" s="61"/>
      <c r="H37" s="61"/>
      <c r="I37" s="61"/>
      <c r="J37" s="61"/>
      <c r="K37" s="61"/>
      <c r="L37" s="61"/>
      <c r="M37" s="61"/>
      <c r="N37" s="61"/>
      <c r="O37" s="61"/>
      <c r="P37" s="61"/>
      <c r="Q37" s="61"/>
      <c r="R37" s="61"/>
      <c r="S37" s="61"/>
      <c r="T37" s="61"/>
      <c r="U37" s="61"/>
      <c r="V37" s="61"/>
      <c r="W37" s="61"/>
    </row>
    <row r="38" spans="2:26" x14ac:dyDescent="0.25">
      <c r="B38" s="460"/>
      <c r="C38" s="50" t="str">
        <f t="shared" si="0"/>
        <v>10625027</v>
      </c>
      <c r="D38" s="61"/>
      <c r="E38" s="61"/>
      <c r="F38" s="62" t="s">
        <v>214</v>
      </c>
      <c r="G38" s="61"/>
      <c r="H38" s="61"/>
      <c r="I38" s="61"/>
      <c r="J38" s="61"/>
      <c r="K38" s="61"/>
      <c r="L38" s="61"/>
      <c r="M38" s="61"/>
      <c r="N38" s="61"/>
      <c r="O38" s="61"/>
      <c r="P38" s="61"/>
      <c r="Q38" s="61"/>
      <c r="R38" s="61"/>
      <c r="S38" s="61"/>
      <c r="T38" s="61"/>
      <c r="U38" s="61"/>
      <c r="V38" s="61"/>
      <c r="W38" s="61"/>
    </row>
    <row r="39" spans="2:26" x14ac:dyDescent="0.25">
      <c r="B39" s="460"/>
      <c r="C39" s="50" t="str">
        <f t="shared" si="0"/>
        <v>10625028</v>
      </c>
      <c r="D39" s="61"/>
      <c r="E39" s="61"/>
      <c r="F39" s="62" t="s">
        <v>214</v>
      </c>
      <c r="G39" s="61"/>
      <c r="H39" s="61"/>
      <c r="I39" s="61"/>
      <c r="J39" s="61"/>
      <c r="K39" s="61"/>
      <c r="L39" s="61"/>
      <c r="M39" s="61"/>
      <c r="N39" s="61"/>
      <c r="O39" s="61"/>
      <c r="P39" s="61"/>
      <c r="Q39" s="61"/>
      <c r="R39" s="61"/>
      <c r="S39" s="61"/>
      <c r="T39" s="61"/>
      <c r="U39" s="61"/>
      <c r="V39" s="61"/>
      <c r="W39" s="61"/>
    </row>
    <row r="40" spans="2:26" x14ac:dyDescent="0.25">
      <c r="B40" s="460"/>
      <c r="C40" s="50" t="str">
        <f t="shared" si="0"/>
        <v>10625029</v>
      </c>
      <c r="D40" s="61"/>
      <c r="E40" s="61"/>
      <c r="F40" s="62" t="s">
        <v>214</v>
      </c>
      <c r="G40" s="61"/>
      <c r="H40" s="61"/>
      <c r="I40" s="61"/>
      <c r="J40" s="61"/>
      <c r="K40" s="61"/>
      <c r="L40" s="61"/>
      <c r="M40" s="61"/>
      <c r="N40" s="61"/>
      <c r="O40" s="61"/>
      <c r="P40" s="61"/>
      <c r="Q40" s="61"/>
      <c r="R40" s="61"/>
      <c r="S40" s="61"/>
      <c r="T40" s="61"/>
      <c r="U40" s="61"/>
      <c r="V40" s="61"/>
      <c r="W40" s="61"/>
    </row>
    <row r="41" spans="2:26" x14ac:dyDescent="0.25">
      <c r="B41" s="460"/>
      <c r="C41" s="50" t="str">
        <f t="shared" si="0"/>
        <v>10625030</v>
      </c>
      <c r="D41" s="61"/>
      <c r="E41" s="61"/>
      <c r="F41" s="62" t="s">
        <v>214</v>
      </c>
      <c r="G41" s="61"/>
      <c r="H41" s="61"/>
      <c r="I41" s="61"/>
      <c r="J41" s="61"/>
      <c r="K41" s="61"/>
      <c r="L41" s="61"/>
      <c r="M41" s="61"/>
      <c r="N41" s="61"/>
      <c r="O41" s="61"/>
      <c r="P41" s="61"/>
      <c r="Q41" s="61"/>
      <c r="R41" s="61"/>
      <c r="S41" s="61"/>
      <c r="T41" s="61"/>
      <c r="U41" s="61"/>
      <c r="V41" s="61"/>
      <c r="W41" s="61"/>
    </row>
    <row r="42" spans="2:26" x14ac:dyDescent="0.25">
      <c r="B42" s="460"/>
      <c r="C42" s="50" t="str">
        <f t="shared" si="0"/>
        <v>10625031</v>
      </c>
      <c r="D42" s="61"/>
      <c r="E42" s="61"/>
      <c r="F42" s="62" t="s">
        <v>214</v>
      </c>
      <c r="G42" s="61"/>
      <c r="H42" s="61"/>
      <c r="I42" s="61"/>
      <c r="J42" s="61"/>
      <c r="K42" s="61"/>
      <c r="L42" s="61"/>
      <c r="M42" s="61"/>
      <c r="N42" s="61"/>
      <c r="O42" s="61"/>
      <c r="P42" s="61"/>
      <c r="Q42" s="61"/>
      <c r="R42" s="61"/>
      <c r="S42" s="61"/>
      <c r="T42" s="61"/>
      <c r="U42" s="61"/>
      <c r="V42" s="61"/>
      <c r="W42" s="61"/>
    </row>
    <row r="43" spans="2:26" x14ac:dyDescent="0.25">
      <c r="B43" s="460"/>
      <c r="C43" s="50" t="str">
        <f t="shared" si="0"/>
        <v>10625032</v>
      </c>
      <c r="D43" s="61"/>
      <c r="E43" s="61"/>
      <c r="F43" s="62" t="s">
        <v>214</v>
      </c>
      <c r="G43" s="61"/>
      <c r="H43" s="61"/>
      <c r="I43" s="61"/>
      <c r="J43" s="61"/>
      <c r="K43" s="61"/>
      <c r="L43" s="61"/>
      <c r="M43" s="61"/>
      <c r="N43" s="61"/>
      <c r="O43" s="61"/>
      <c r="P43" s="61"/>
      <c r="Q43" s="61"/>
      <c r="R43" s="61"/>
      <c r="S43" s="61"/>
      <c r="T43" s="61"/>
      <c r="U43" s="61"/>
      <c r="V43" s="61"/>
      <c r="W43" s="61"/>
    </row>
    <row r="44" spans="2:26" x14ac:dyDescent="0.25">
      <c r="B44" s="460"/>
      <c r="C44" s="50" t="str">
        <f t="shared" si="0"/>
        <v>10625033</v>
      </c>
      <c r="D44" s="61"/>
      <c r="E44" s="61"/>
      <c r="F44" s="62" t="s">
        <v>214</v>
      </c>
      <c r="G44" s="61"/>
      <c r="H44" s="61"/>
      <c r="I44" s="61"/>
      <c r="J44" s="61"/>
      <c r="K44" s="61"/>
      <c r="L44" s="61"/>
      <c r="M44" s="61"/>
      <c r="N44" s="61"/>
      <c r="O44" s="61"/>
      <c r="P44" s="61"/>
      <c r="Q44" s="61"/>
      <c r="R44" s="61"/>
      <c r="S44" s="61"/>
      <c r="T44" s="61"/>
      <c r="U44" s="61"/>
      <c r="V44" s="61"/>
      <c r="W44" s="61"/>
    </row>
    <row r="45" spans="2:26" x14ac:dyDescent="0.25">
      <c r="B45" s="460"/>
      <c r="C45" s="50" t="str">
        <f t="shared" si="0"/>
        <v>10625034</v>
      </c>
      <c r="D45" s="61"/>
      <c r="E45" s="61"/>
      <c r="F45" s="62" t="s">
        <v>214</v>
      </c>
      <c r="G45" s="61"/>
      <c r="H45" s="61"/>
      <c r="I45" s="61"/>
      <c r="J45" s="61"/>
      <c r="K45" s="61"/>
      <c r="L45" s="61"/>
      <c r="M45" s="61"/>
      <c r="N45" s="61"/>
      <c r="O45" s="61"/>
      <c r="P45" s="61"/>
      <c r="Q45" s="61"/>
      <c r="R45" s="61"/>
      <c r="S45" s="61"/>
      <c r="T45" s="61"/>
      <c r="U45" s="61"/>
      <c r="V45" s="61"/>
      <c r="W45" s="61"/>
    </row>
    <row r="46" spans="2:26" x14ac:dyDescent="0.25">
      <c r="B46" s="460"/>
      <c r="C46" s="50" t="str">
        <f t="shared" si="0"/>
        <v>10625035</v>
      </c>
      <c r="D46" s="61"/>
      <c r="E46" s="61"/>
      <c r="F46" s="62" t="s">
        <v>214</v>
      </c>
      <c r="G46" s="61"/>
      <c r="H46" s="61"/>
      <c r="I46" s="61"/>
      <c r="J46" s="61"/>
      <c r="K46" s="61"/>
      <c r="L46" s="61"/>
      <c r="M46" s="61"/>
      <c r="N46" s="61"/>
      <c r="O46" s="61"/>
      <c r="P46" s="61"/>
      <c r="Q46" s="61"/>
      <c r="R46" s="61"/>
      <c r="S46" s="61"/>
      <c r="T46" s="61"/>
      <c r="U46" s="61"/>
      <c r="V46" s="61"/>
      <c r="W46" s="61"/>
    </row>
    <row r="47" spans="2:26" x14ac:dyDescent="0.25">
      <c r="B47" s="460"/>
      <c r="C47" s="50" t="str">
        <f t="shared" si="0"/>
        <v>10625036</v>
      </c>
      <c r="D47" s="61"/>
      <c r="E47" s="61"/>
      <c r="F47" s="62" t="s">
        <v>214</v>
      </c>
      <c r="G47" s="61"/>
      <c r="H47" s="61"/>
      <c r="I47" s="61"/>
      <c r="J47" s="61"/>
      <c r="K47" s="61"/>
      <c r="L47" s="61"/>
      <c r="M47" s="61"/>
      <c r="N47" s="61"/>
      <c r="O47" s="61"/>
      <c r="P47" s="61"/>
      <c r="Q47" s="61"/>
      <c r="R47" s="61"/>
      <c r="S47" s="61"/>
      <c r="T47" s="61"/>
      <c r="U47" s="61"/>
      <c r="V47" s="61"/>
      <c r="W47" s="61"/>
    </row>
    <row r="48" spans="2:26" x14ac:dyDescent="0.25">
      <c r="B48" s="460"/>
      <c r="C48" s="50" t="str">
        <f t="shared" si="0"/>
        <v>10625037</v>
      </c>
      <c r="D48" s="61"/>
      <c r="E48" s="61"/>
      <c r="F48" s="62" t="s">
        <v>214</v>
      </c>
      <c r="G48" s="61"/>
      <c r="H48" s="61"/>
      <c r="I48" s="61"/>
      <c r="J48" s="61"/>
      <c r="K48" s="61"/>
      <c r="L48" s="61"/>
      <c r="M48" s="61"/>
      <c r="N48" s="61"/>
      <c r="O48" s="61"/>
      <c r="P48" s="61"/>
      <c r="Q48" s="61"/>
      <c r="R48" s="61"/>
      <c r="S48" s="61"/>
      <c r="T48" s="61"/>
      <c r="U48" s="61"/>
      <c r="V48" s="61"/>
      <c r="W48" s="61"/>
    </row>
    <row r="49" spans="2:23" x14ac:dyDescent="0.25">
      <c r="B49" s="460"/>
      <c r="C49" s="50" t="str">
        <f t="shared" si="0"/>
        <v>10625038</v>
      </c>
      <c r="D49" s="61"/>
      <c r="E49" s="61"/>
      <c r="F49" s="62" t="s">
        <v>214</v>
      </c>
      <c r="G49" s="61"/>
      <c r="H49" s="61"/>
      <c r="I49" s="61"/>
      <c r="J49" s="61"/>
      <c r="K49" s="61"/>
      <c r="L49" s="61"/>
      <c r="M49" s="61"/>
      <c r="N49" s="61"/>
      <c r="O49" s="61"/>
      <c r="P49" s="61"/>
      <c r="Q49" s="61"/>
      <c r="R49" s="61"/>
      <c r="S49" s="61"/>
      <c r="T49" s="61"/>
      <c r="U49" s="61"/>
      <c r="V49" s="61"/>
      <c r="W49" s="61"/>
    </row>
    <row r="50" spans="2:23" x14ac:dyDescent="0.25">
      <c r="B50" s="460"/>
      <c r="C50" s="50" t="str">
        <f t="shared" si="0"/>
        <v>10625039</v>
      </c>
      <c r="D50" s="61"/>
      <c r="E50" s="61"/>
      <c r="F50" s="62" t="s">
        <v>214</v>
      </c>
      <c r="G50" s="61"/>
      <c r="H50" s="61"/>
      <c r="I50" s="61"/>
      <c r="J50" s="61"/>
      <c r="K50" s="61"/>
      <c r="L50" s="61"/>
      <c r="M50" s="61"/>
      <c r="N50" s="61"/>
      <c r="O50" s="61"/>
      <c r="P50" s="61"/>
      <c r="Q50" s="61"/>
      <c r="R50" s="61"/>
      <c r="S50" s="61"/>
      <c r="T50" s="61"/>
      <c r="U50" s="61"/>
      <c r="V50" s="61"/>
      <c r="W50" s="61"/>
    </row>
    <row r="51" spans="2:23" x14ac:dyDescent="0.25">
      <c r="B51" s="460"/>
      <c r="C51" s="50" t="str">
        <f t="shared" si="0"/>
        <v>10625040</v>
      </c>
      <c r="D51" s="61"/>
      <c r="E51" s="61"/>
      <c r="F51" s="62" t="s">
        <v>214</v>
      </c>
      <c r="G51" s="61"/>
      <c r="H51" s="61"/>
      <c r="I51" s="61"/>
      <c r="J51" s="61"/>
      <c r="K51" s="61"/>
      <c r="L51" s="61"/>
      <c r="M51" s="61"/>
      <c r="N51" s="61"/>
      <c r="O51" s="61"/>
      <c r="P51" s="61"/>
      <c r="Q51" s="61"/>
      <c r="R51" s="61"/>
      <c r="S51" s="61"/>
      <c r="T51" s="61"/>
      <c r="U51" s="61"/>
      <c r="V51" s="61"/>
      <c r="W51" s="61"/>
    </row>
    <row r="52" spans="2:23" x14ac:dyDescent="0.25">
      <c r="B52" s="460"/>
      <c r="C52" s="50" t="str">
        <f t="shared" si="0"/>
        <v>10625041</v>
      </c>
      <c r="D52" s="61"/>
      <c r="E52" s="61"/>
      <c r="F52" s="62" t="s">
        <v>214</v>
      </c>
      <c r="G52" s="61"/>
      <c r="H52" s="61"/>
      <c r="I52" s="61"/>
      <c r="J52" s="61"/>
      <c r="K52" s="61"/>
      <c r="L52" s="61"/>
      <c r="M52" s="61"/>
      <c r="N52" s="61"/>
      <c r="O52" s="61"/>
      <c r="P52" s="61"/>
      <c r="Q52" s="61"/>
      <c r="R52" s="61"/>
      <c r="S52" s="61"/>
      <c r="T52" s="61"/>
      <c r="U52" s="61"/>
      <c r="V52" s="61"/>
      <c r="W52" s="61"/>
    </row>
    <row r="53" spans="2:23" x14ac:dyDescent="0.25">
      <c r="B53" s="460"/>
      <c r="C53" s="50" t="str">
        <f t="shared" si="0"/>
        <v>10625042</v>
      </c>
      <c r="D53" s="61"/>
      <c r="E53" s="61"/>
      <c r="F53" s="62" t="s">
        <v>214</v>
      </c>
      <c r="G53" s="61"/>
      <c r="H53" s="61"/>
      <c r="I53" s="61"/>
      <c r="J53" s="61"/>
      <c r="K53" s="61"/>
      <c r="L53" s="61"/>
      <c r="M53" s="61"/>
      <c r="N53" s="61"/>
      <c r="O53" s="61"/>
      <c r="P53" s="61"/>
      <c r="Q53" s="61"/>
      <c r="R53" s="61"/>
      <c r="S53" s="61"/>
      <c r="T53" s="61"/>
      <c r="U53" s="61"/>
      <c r="V53" s="61"/>
      <c r="W53" s="61"/>
    </row>
    <row r="54" spans="2:23" x14ac:dyDescent="0.25">
      <c r="B54" s="460"/>
      <c r="C54" s="50" t="str">
        <f t="shared" si="0"/>
        <v>10625043</v>
      </c>
      <c r="D54" s="61"/>
      <c r="E54" s="61"/>
      <c r="F54" s="62" t="s">
        <v>214</v>
      </c>
      <c r="G54" s="61"/>
      <c r="H54" s="61"/>
      <c r="I54" s="61"/>
      <c r="J54" s="61"/>
      <c r="K54" s="61"/>
      <c r="L54" s="61"/>
      <c r="M54" s="61"/>
      <c r="N54" s="61"/>
      <c r="O54" s="61"/>
      <c r="P54" s="61"/>
      <c r="Q54" s="61"/>
      <c r="R54" s="61"/>
      <c r="S54" s="61"/>
      <c r="T54" s="61"/>
      <c r="U54" s="61"/>
      <c r="V54" s="61"/>
      <c r="W54" s="61"/>
    </row>
    <row r="55" spans="2:23" x14ac:dyDescent="0.25">
      <c r="B55" s="460"/>
      <c r="C55" s="50" t="str">
        <f t="shared" si="0"/>
        <v>10625044</v>
      </c>
      <c r="D55" s="61"/>
      <c r="E55" s="61"/>
      <c r="F55" s="62" t="s">
        <v>214</v>
      </c>
      <c r="G55" s="61"/>
      <c r="H55" s="61"/>
      <c r="I55" s="61"/>
      <c r="J55" s="61"/>
      <c r="K55" s="61"/>
      <c r="L55" s="61"/>
      <c r="M55" s="61"/>
      <c r="N55" s="61"/>
      <c r="O55" s="61"/>
      <c r="P55" s="61"/>
      <c r="Q55" s="61"/>
      <c r="R55" s="61"/>
      <c r="S55" s="61"/>
      <c r="T55" s="61"/>
      <c r="U55" s="61"/>
      <c r="V55" s="61"/>
      <c r="W55" s="61"/>
    </row>
    <row r="56" spans="2:23" x14ac:dyDescent="0.25">
      <c r="B56" s="460"/>
      <c r="C56" s="50" t="str">
        <f t="shared" si="0"/>
        <v>10625045</v>
      </c>
      <c r="D56" s="61"/>
      <c r="E56" s="61"/>
      <c r="F56" s="62" t="s">
        <v>214</v>
      </c>
      <c r="G56" s="61"/>
      <c r="H56" s="61"/>
      <c r="I56" s="61"/>
      <c r="J56" s="61"/>
      <c r="K56" s="61"/>
      <c r="L56" s="61"/>
      <c r="M56" s="61"/>
      <c r="N56" s="61"/>
      <c r="O56" s="61"/>
      <c r="P56" s="61"/>
      <c r="Q56" s="61"/>
      <c r="R56" s="61"/>
      <c r="S56" s="61"/>
      <c r="T56" s="61"/>
      <c r="U56" s="61"/>
      <c r="V56" s="61"/>
      <c r="W56" s="61"/>
    </row>
    <row r="57" spans="2:23" x14ac:dyDescent="0.25">
      <c r="B57" s="460"/>
      <c r="C57" s="50" t="str">
        <f t="shared" si="0"/>
        <v>10625046</v>
      </c>
      <c r="D57" s="61"/>
      <c r="E57" s="61"/>
      <c r="F57" s="62" t="s">
        <v>214</v>
      </c>
      <c r="G57" s="61"/>
      <c r="H57" s="61"/>
      <c r="I57" s="61"/>
      <c r="J57" s="61"/>
      <c r="K57" s="61"/>
      <c r="L57" s="61"/>
      <c r="M57" s="61"/>
      <c r="N57" s="61"/>
      <c r="O57" s="61"/>
      <c r="P57" s="61"/>
      <c r="Q57" s="61"/>
      <c r="R57" s="61"/>
      <c r="S57" s="61"/>
      <c r="T57" s="61"/>
      <c r="U57" s="61"/>
      <c r="V57" s="61"/>
      <c r="W57" s="61"/>
    </row>
    <row r="58" spans="2:23" x14ac:dyDescent="0.25">
      <c r="B58" s="460"/>
      <c r="C58" s="50" t="str">
        <f t="shared" si="0"/>
        <v>10625047</v>
      </c>
      <c r="D58" s="61"/>
      <c r="E58" s="61"/>
      <c r="F58" s="62" t="s">
        <v>214</v>
      </c>
      <c r="G58" s="61"/>
      <c r="H58" s="61"/>
      <c r="I58" s="61"/>
      <c r="J58" s="61"/>
      <c r="K58" s="61"/>
      <c r="L58" s="61"/>
      <c r="M58" s="61"/>
      <c r="N58" s="61"/>
      <c r="O58" s="61"/>
      <c r="P58" s="61"/>
      <c r="Q58" s="61"/>
      <c r="R58" s="61"/>
      <c r="S58" s="61"/>
      <c r="T58" s="61"/>
      <c r="U58" s="61"/>
      <c r="V58" s="61"/>
      <c r="W58" s="61"/>
    </row>
    <row r="59" spans="2:23" x14ac:dyDescent="0.25">
      <c r="B59" s="460"/>
      <c r="C59" s="50" t="str">
        <f t="shared" si="0"/>
        <v>10625048</v>
      </c>
      <c r="D59" s="61"/>
      <c r="E59" s="61"/>
      <c r="F59" s="62" t="s">
        <v>214</v>
      </c>
      <c r="G59" s="61"/>
      <c r="H59" s="61"/>
      <c r="I59" s="61"/>
      <c r="J59" s="61"/>
      <c r="K59" s="61"/>
      <c r="L59" s="61"/>
      <c r="M59" s="61"/>
      <c r="N59" s="61"/>
      <c r="O59" s="61"/>
      <c r="P59" s="61"/>
      <c r="Q59" s="61"/>
      <c r="R59" s="61"/>
      <c r="S59" s="61"/>
      <c r="T59" s="61"/>
      <c r="U59" s="61"/>
      <c r="V59" s="61"/>
      <c r="W59" s="61"/>
    </row>
    <row r="60" spans="2:23" x14ac:dyDescent="0.25">
      <c r="B60" s="460"/>
      <c r="C60" s="50" t="str">
        <f t="shared" si="0"/>
        <v>10625049</v>
      </c>
      <c r="D60" s="61"/>
      <c r="E60" s="61"/>
      <c r="F60" s="62" t="s">
        <v>214</v>
      </c>
      <c r="G60" s="61"/>
      <c r="H60" s="61"/>
      <c r="I60" s="61"/>
      <c r="J60" s="61"/>
      <c r="K60" s="61"/>
      <c r="L60" s="61"/>
      <c r="M60" s="61"/>
      <c r="N60" s="61"/>
      <c r="O60" s="61"/>
      <c r="P60" s="61"/>
      <c r="Q60" s="61"/>
      <c r="R60" s="61"/>
      <c r="S60" s="61"/>
      <c r="T60" s="61"/>
      <c r="U60" s="61"/>
      <c r="V60" s="61"/>
      <c r="W60" s="61"/>
    </row>
    <row r="61" spans="2:23" x14ac:dyDescent="0.25">
      <c r="B61" s="460"/>
      <c r="C61" s="50" t="str">
        <f t="shared" si="0"/>
        <v>10625050</v>
      </c>
      <c r="D61" s="61"/>
      <c r="E61" s="61"/>
      <c r="F61" s="62"/>
      <c r="G61" s="61"/>
      <c r="H61" s="61"/>
      <c r="I61" s="61"/>
      <c r="J61" s="61"/>
      <c r="K61" s="61"/>
      <c r="L61" s="61"/>
      <c r="M61" s="61"/>
      <c r="N61" s="61"/>
      <c r="O61" s="61"/>
      <c r="P61" s="61"/>
      <c r="Q61" s="61"/>
      <c r="R61" s="61"/>
      <c r="S61" s="61"/>
      <c r="T61" s="61"/>
      <c r="U61" s="61"/>
      <c r="V61" s="61"/>
      <c r="W61" s="61"/>
    </row>
    <row r="62" spans="2:23" x14ac:dyDescent="0.25">
      <c r="B62" s="460"/>
      <c r="C62" s="50" t="str">
        <f t="shared" si="0"/>
        <v>10625051</v>
      </c>
      <c r="D62" s="61"/>
      <c r="E62" s="61"/>
      <c r="F62" s="62"/>
      <c r="G62" s="61"/>
      <c r="H62" s="61"/>
      <c r="I62" s="61"/>
      <c r="J62" s="61"/>
      <c r="K62" s="61"/>
      <c r="L62" s="61"/>
      <c r="M62" s="61"/>
      <c r="N62" s="61"/>
      <c r="O62" s="61"/>
      <c r="P62" s="61"/>
      <c r="Q62" s="61"/>
      <c r="R62" s="61"/>
      <c r="S62" s="61"/>
      <c r="T62" s="61"/>
      <c r="U62" s="61"/>
      <c r="V62" s="61"/>
      <c r="W62" s="61"/>
    </row>
    <row r="63" spans="2:23" s="57" customFormat="1" ht="13.8" thickBot="1" x14ac:dyDescent="0.3">
      <c r="B63" s="461"/>
      <c r="C63" s="50" t="str">
        <f t="shared" si="0"/>
        <v>10625052</v>
      </c>
      <c r="D63" s="63"/>
      <c r="E63" s="63"/>
      <c r="F63" s="64" t="s">
        <v>214</v>
      </c>
      <c r="G63" s="63"/>
      <c r="H63" s="63"/>
      <c r="I63" s="63"/>
      <c r="J63" s="63"/>
      <c r="K63" s="63"/>
      <c r="L63" s="63"/>
      <c r="M63" s="63"/>
      <c r="N63" s="63"/>
      <c r="O63" s="63"/>
      <c r="P63" s="63"/>
      <c r="Q63" s="63"/>
      <c r="R63" s="63"/>
      <c r="S63" s="63"/>
      <c r="T63" s="63"/>
      <c r="U63" s="63"/>
      <c r="V63" s="63"/>
      <c r="W63" s="63"/>
    </row>
    <row r="64" spans="2:23" x14ac:dyDescent="0.25">
      <c r="B64" s="460" t="s">
        <v>384</v>
      </c>
      <c r="C64" s="51" t="str">
        <f t="shared" ref="C64:C89" si="1">D5</f>
        <v>33055025</v>
      </c>
      <c r="D64" s="68" t="s">
        <v>386</v>
      </c>
      <c r="E64" s="98" t="s">
        <v>211</v>
      </c>
      <c r="F64" s="98" t="s">
        <v>230</v>
      </c>
      <c r="G64" s="98" t="s">
        <v>393</v>
      </c>
      <c r="H64" s="98" t="s">
        <v>220</v>
      </c>
      <c r="I64" s="1" t="s">
        <v>215</v>
      </c>
      <c r="J64" s="1" t="s">
        <v>217</v>
      </c>
      <c r="K64" s="98" t="s">
        <v>216</v>
      </c>
      <c r="L64" s="99" t="s">
        <v>236</v>
      </c>
      <c r="M64" s="98" t="s">
        <v>394</v>
      </c>
      <c r="N64" s="99" t="s">
        <v>234</v>
      </c>
      <c r="O64" s="98" t="s">
        <v>395</v>
      </c>
      <c r="P64" s="99" t="s">
        <v>235</v>
      </c>
      <c r="Q64" s="98" t="s">
        <v>396</v>
      </c>
      <c r="R64" s="68" t="s">
        <v>388</v>
      </c>
      <c r="S64" s="98" t="s">
        <v>299</v>
      </c>
      <c r="T64" s="1" t="s">
        <v>296</v>
      </c>
      <c r="U64" s="1" t="s">
        <v>397</v>
      </c>
      <c r="V64" s="1" t="s">
        <v>302</v>
      </c>
      <c r="W64" s="98" t="s">
        <v>301</v>
      </c>
    </row>
    <row r="65" spans="2:23" x14ac:dyDescent="0.25">
      <c r="B65" s="460"/>
      <c r="C65" s="51" t="str">
        <f t="shared" si="1"/>
        <v>33055026</v>
      </c>
      <c r="D65" s="68" t="s">
        <v>386</v>
      </c>
      <c r="E65" s="98" t="s">
        <v>211</v>
      </c>
      <c r="F65" s="98" t="s">
        <v>230</v>
      </c>
      <c r="G65" s="98" t="s">
        <v>393</v>
      </c>
      <c r="H65" s="98" t="s">
        <v>220</v>
      </c>
      <c r="I65" s="1" t="s">
        <v>215</v>
      </c>
      <c r="J65" s="1" t="s">
        <v>217</v>
      </c>
      <c r="K65" s="98" t="s">
        <v>216</v>
      </c>
      <c r="L65" s="99" t="s">
        <v>236</v>
      </c>
      <c r="M65" s="98" t="s">
        <v>394</v>
      </c>
      <c r="N65" s="99" t="s">
        <v>234</v>
      </c>
      <c r="O65" s="98" t="s">
        <v>395</v>
      </c>
      <c r="P65" s="99" t="s">
        <v>237</v>
      </c>
      <c r="Q65" s="98" t="s">
        <v>396</v>
      </c>
      <c r="R65" s="68" t="s">
        <v>388</v>
      </c>
      <c r="S65" s="98" t="s">
        <v>299</v>
      </c>
      <c r="T65" s="1" t="s">
        <v>296</v>
      </c>
      <c r="U65" s="1" t="s">
        <v>397</v>
      </c>
      <c r="V65" s="1" t="s">
        <v>302</v>
      </c>
      <c r="W65" s="98" t="s">
        <v>301</v>
      </c>
    </row>
    <row r="66" spans="2:23" x14ac:dyDescent="0.25">
      <c r="B66" s="460"/>
      <c r="C66" s="51" t="str">
        <f t="shared" si="1"/>
        <v>33055027</v>
      </c>
      <c r="D66" s="68" t="s">
        <v>386</v>
      </c>
      <c r="E66" s="98" t="s">
        <v>211</v>
      </c>
      <c r="F66" s="98" t="s">
        <v>230</v>
      </c>
      <c r="G66" s="98" t="s">
        <v>393</v>
      </c>
      <c r="H66" s="98" t="s">
        <v>220</v>
      </c>
      <c r="I66" s="1" t="s">
        <v>215</v>
      </c>
      <c r="J66" s="1" t="s">
        <v>217</v>
      </c>
      <c r="K66" s="98" t="s">
        <v>216</v>
      </c>
      <c r="L66" s="99" t="s">
        <v>236</v>
      </c>
      <c r="M66" s="98" t="s">
        <v>394</v>
      </c>
      <c r="N66" s="99" t="s">
        <v>234</v>
      </c>
      <c r="O66" s="98" t="s">
        <v>395</v>
      </c>
      <c r="P66" s="99" t="s">
        <v>238</v>
      </c>
      <c r="Q66" s="98" t="s">
        <v>396</v>
      </c>
      <c r="R66" s="68" t="s">
        <v>388</v>
      </c>
      <c r="S66" s="98" t="s">
        <v>299</v>
      </c>
      <c r="T66" s="1" t="s">
        <v>296</v>
      </c>
      <c r="U66" s="1" t="s">
        <v>397</v>
      </c>
      <c r="V66" s="1" t="s">
        <v>302</v>
      </c>
      <c r="W66" s="98" t="s">
        <v>301</v>
      </c>
    </row>
    <row r="67" spans="2:23" x14ac:dyDescent="0.25">
      <c r="B67" s="460"/>
      <c r="C67" s="51" t="str">
        <f t="shared" si="1"/>
        <v>33055028</v>
      </c>
      <c r="D67" s="68" t="s">
        <v>386</v>
      </c>
      <c r="E67" s="98" t="s">
        <v>211</v>
      </c>
      <c r="F67" s="98" t="s">
        <v>230</v>
      </c>
      <c r="G67" s="98" t="s">
        <v>393</v>
      </c>
      <c r="H67" s="98" t="s">
        <v>220</v>
      </c>
      <c r="I67" s="1" t="s">
        <v>215</v>
      </c>
      <c r="J67" s="1" t="s">
        <v>217</v>
      </c>
      <c r="K67" s="98" t="s">
        <v>216</v>
      </c>
      <c r="L67" s="99" t="s">
        <v>236</v>
      </c>
      <c r="M67" s="98" t="s">
        <v>394</v>
      </c>
      <c r="N67" s="99" t="s">
        <v>234</v>
      </c>
      <c r="O67" s="98" t="s">
        <v>395</v>
      </c>
      <c r="P67" s="99" t="s">
        <v>239</v>
      </c>
      <c r="Q67" s="98" t="s">
        <v>396</v>
      </c>
      <c r="R67" s="68" t="s">
        <v>388</v>
      </c>
      <c r="S67" s="98" t="s">
        <v>299</v>
      </c>
      <c r="T67" s="1" t="s">
        <v>296</v>
      </c>
      <c r="U67" s="1" t="s">
        <v>397</v>
      </c>
      <c r="V67" s="1" t="s">
        <v>302</v>
      </c>
      <c r="W67" s="98" t="s">
        <v>301</v>
      </c>
    </row>
    <row r="68" spans="2:23" x14ac:dyDescent="0.25">
      <c r="B68" s="460"/>
      <c r="C68" s="51" t="str">
        <f t="shared" si="1"/>
        <v>33055029</v>
      </c>
      <c r="D68" s="68" t="s">
        <v>386</v>
      </c>
      <c r="E68" s="98" t="s">
        <v>211</v>
      </c>
      <c r="F68" s="98" t="s">
        <v>230</v>
      </c>
      <c r="G68" s="98" t="s">
        <v>393</v>
      </c>
      <c r="H68" s="98" t="s">
        <v>220</v>
      </c>
      <c r="I68" s="1" t="s">
        <v>215</v>
      </c>
      <c r="J68" s="1" t="s">
        <v>217</v>
      </c>
      <c r="K68" s="98" t="s">
        <v>216</v>
      </c>
      <c r="L68" s="99" t="s">
        <v>236</v>
      </c>
      <c r="M68" s="98" t="s">
        <v>394</v>
      </c>
      <c r="N68" s="99" t="s">
        <v>234</v>
      </c>
      <c r="O68" s="98" t="s">
        <v>395</v>
      </c>
      <c r="P68" s="99" t="s">
        <v>240</v>
      </c>
      <c r="Q68" s="98" t="s">
        <v>396</v>
      </c>
      <c r="R68" s="68" t="s">
        <v>388</v>
      </c>
      <c r="S68" s="98" t="s">
        <v>299</v>
      </c>
      <c r="T68" s="1" t="s">
        <v>296</v>
      </c>
      <c r="U68" s="1" t="s">
        <v>397</v>
      </c>
      <c r="V68" s="1" t="s">
        <v>302</v>
      </c>
      <c r="W68" s="98" t="s">
        <v>301</v>
      </c>
    </row>
    <row r="69" spans="2:23" x14ac:dyDescent="0.25">
      <c r="B69" s="460"/>
      <c r="C69" s="51" t="str">
        <f t="shared" si="1"/>
        <v>33055030</v>
      </c>
      <c r="D69" s="68" t="s">
        <v>386</v>
      </c>
      <c r="E69" s="98" t="s">
        <v>211</v>
      </c>
      <c r="F69" s="98" t="s">
        <v>230</v>
      </c>
      <c r="G69" s="98" t="s">
        <v>393</v>
      </c>
      <c r="H69" s="98" t="s">
        <v>220</v>
      </c>
      <c r="I69" s="1" t="s">
        <v>215</v>
      </c>
      <c r="J69" s="1" t="s">
        <v>217</v>
      </c>
      <c r="K69" s="98" t="s">
        <v>216</v>
      </c>
      <c r="L69" s="99" t="s">
        <v>236</v>
      </c>
      <c r="M69" s="98" t="s">
        <v>394</v>
      </c>
      <c r="N69" s="99" t="s">
        <v>234</v>
      </c>
      <c r="O69" s="98" t="s">
        <v>395</v>
      </c>
      <c r="P69" s="99" t="s">
        <v>241</v>
      </c>
      <c r="Q69" s="98" t="s">
        <v>396</v>
      </c>
      <c r="R69" s="68" t="s">
        <v>388</v>
      </c>
      <c r="S69" s="98" t="s">
        <v>299</v>
      </c>
      <c r="T69" s="1" t="s">
        <v>296</v>
      </c>
      <c r="U69" s="1" t="s">
        <v>397</v>
      </c>
      <c r="V69" s="1" t="s">
        <v>302</v>
      </c>
      <c r="W69" s="98" t="s">
        <v>301</v>
      </c>
    </row>
    <row r="70" spans="2:23" x14ac:dyDescent="0.25">
      <c r="B70" s="460"/>
      <c r="C70" s="51" t="str">
        <f t="shared" si="1"/>
        <v>33055031</v>
      </c>
      <c r="D70" s="68" t="s">
        <v>386</v>
      </c>
      <c r="E70" s="98" t="s">
        <v>211</v>
      </c>
      <c r="F70" s="98" t="s">
        <v>230</v>
      </c>
      <c r="G70" s="98" t="s">
        <v>393</v>
      </c>
      <c r="H70" s="98" t="s">
        <v>220</v>
      </c>
      <c r="I70" s="1" t="s">
        <v>215</v>
      </c>
      <c r="J70" s="1" t="s">
        <v>217</v>
      </c>
      <c r="K70" s="98" t="s">
        <v>216</v>
      </c>
      <c r="L70" s="99" t="s">
        <v>236</v>
      </c>
      <c r="M70" s="98" t="s">
        <v>394</v>
      </c>
      <c r="N70" s="99" t="s">
        <v>234</v>
      </c>
      <c r="O70" s="98" t="s">
        <v>395</v>
      </c>
      <c r="P70" s="99" t="s">
        <v>242</v>
      </c>
      <c r="Q70" s="98" t="s">
        <v>396</v>
      </c>
      <c r="R70" s="68" t="s">
        <v>388</v>
      </c>
      <c r="S70" s="98" t="s">
        <v>299</v>
      </c>
      <c r="T70" s="1" t="s">
        <v>296</v>
      </c>
      <c r="U70" s="1" t="s">
        <v>397</v>
      </c>
      <c r="V70" s="1" t="s">
        <v>302</v>
      </c>
      <c r="W70" s="98" t="s">
        <v>301</v>
      </c>
    </row>
    <row r="71" spans="2:23" x14ac:dyDescent="0.25">
      <c r="B71" s="460"/>
      <c r="C71" s="51" t="str">
        <f t="shared" si="1"/>
        <v>33055032</v>
      </c>
      <c r="D71" s="68" t="s">
        <v>386</v>
      </c>
      <c r="E71" s="98" t="s">
        <v>211</v>
      </c>
      <c r="F71" s="98" t="s">
        <v>230</v>
      </c>
      <c r="G71" s="98" t="s">
        <v>393</v>
      </c>
      <c r="H71" s="98" t="s">
        <v>220</v>
      </c>
      <c r="I71" s="1" t="s">
        <v>215</v>
      </c>
      <c r="J71" s="1" t="s">
        <v>217</v>
      </c>
      <c r="K71" s="98" t="s">
        <v>216</v>
      </c>
      <c r="L71" s="99" t="s">
        <v>236</v>
      </c>
      <c r="M71" s="98" t="s">
        <v>394</v>
      </c>
      <c r="N71" s="99" t="s">
        <v>234</v>
      </c>
      <c r="O71" s="98" t="s">
        <v>395</v>
      </c>
      <c r="P71" s="99" t="s">
        <v>243</v>
      </c>
      <c r="Q71" s="98" t="s">
        <v>396</v>
      </c>
      <c r="R71" s="68" t="s">
        <v>388</v>
      </c>
      <c r="S71" s="98" t="s">
        <v>299</v>
      </c>
      <c r="T71" s="1" t="s">
        <v>296</v>
      </c>
      <c r="U71" s="1" t="s">
        <v>397</v>
      </c>
      <c r="V71" s="1" t="s">
        <v>302</v>
      </c>
      <c r="W71" s="98" t="s">
        <v>301</v>
      </c>
    </row>
    <row r="72" spans="2:23" x14ac:dyDescent="0.25">
      <c r="B72" s="460"/>
      <c r="C72" s="51" t="str">
        <f t="shared" si="1"/>
        <v>33055033</v>
      </c>
      <c r="D72" s="68" t="s">
        <v>386</v>
      </c>
      <c r="E72" s="98" t="s">
        <v>211</v>
      </c>
      <c r="F72" s="98" t="s">
        <v>230</v>
      </c>
      <c r="G72" s="98" t="s">
        <v>393</v>
      </c>
      <c r="H72" s="98" t="s">
        <v>220</v>
      </c>
      <c r="I72" s="1" t="s">
        <v>215</v>
      </c>
      <c r="J72" s="1" t="s">
        <v>217</v>
      </c>
      <c r="K72" s="98" t="s">
        <v>216</v>
      </c>
      <c r="L72" s="99" t="s">
        <v>236</v>
      </c>
      <c r="M72" s="98" t="s">
        <v>394</v>
      </c>
      <c r="N72" s="99" t="s">
        <v>234</v>
      </c>
      <c r="O72" s="98" t="s">
        <v>395</v>
      </c>
      <c r="P72" s="99" t="s">
        <v>244</v>
      </c>
      <c r="Q72" s="98" t="s">
        <v>396</v>
      </c>
      <c r="R72" s="68" t="s">
        <v>388</v>
      </c>
      <c r="S72" s="98" t="s">
        <v>299</v>
      </c>
      <c r="T72" s="1" t="s">
        <v>296</v>
      </c>
      <c r="U72" s="1" t="s">
        <v>397</v>
      </c>
      <c r="V72" s="1" t="s">
        <v>302</v>
      </c>
      <c r="W72" s="98" t="s">
        <v>301</v>
      </c>
    </row>
    <row r="73" spans="2:23" x14ac:dyDescent="0.25">
      <c r="B73" s="460"/>
      <c r="C73" s="51" t="str">
        <f t="shared" si="1"/>
        <v>33055034</v>
      </c>
      <c r="D73" s="68" t="s">
        <v>386</v>
      </c>
      <c r="E73" s="98" t="s">
        <v>211</v>
      </c>
      <c r="F73" s="98" t="s">
        <v>230</v>
      </c>
      <c r="G73" s="98" t="s">
        <v>393</v>
      </c>
      <c r="H73" s="98" t="s">
        <v>220</v>
      </c>
      <c r="I73" s="1" t="s">
        <v>215</v>
      </c>
      <c r="J73" s="1" t="s">
        <v>217</v>
      </c>
      <c r="K73" s="98" t="s">
        <v>216</v>
      </c>
      <c r="L73" s="99" t="s">
        <v>236</v>
      </c>
      <c r="M73" s="98" t="s">
        <v>394</v>
      </c>
      <c r="N73" s="99" t="s">
        <v>234</v>
      </c>
      <c r="O73" s="98" t="s">
        <v>395</v>
      </c>
      <c r="P73" s="99" t="s">
        <v>245</v>
      </c>
      <c r="Q73" s="98" t="s">
        <v>396</v>
      </c>
      <c r="R73" s="68" t="s">
        <v>388</v>
      </c>
      <c r="S73" s="98" t="s">
        <v>299</v>
      </c>
      <c r="T73" s="1" t="s">
        <v>296</v>
      </c>
      <c r="U73" s="1" t="s">
        <v>397</v>
      </c>
      <c r="V73" s="1" t="s">
        <v>302</v>
      </c>
      <c r="W73" s="98" t="s">
        <v>301</v>
      </c>
    </row>
    <row r="74" spans="2:23" x14ac:dyDescent="0.25">
      <c r="B74" s="460"/>
      <c r="C74" s="51" t="str">
        <f t="shared" si="1"/>
        <v>33055035</v>
      </c>
      <c r="D74" s="68" t="s">
        <v>386</v>
      </c>
      <c r="E74" s="98" t="s">
        <v>211</v>
      </c>
      <c r="F74" s="98" t="s">
        <v>230</v>
      </c>
      <c r="G74" s="98" t="s">
        <v>393</v>
      </c>
      <c r="H74" s="98" t="s">
        <v>220</v>
      </c>
      <c r="I74" s="1" t="s">
        <v>215</v>
      </c>
      <c r="J74" s="1" t="s">
        <v>217</v>
      </c>
      <c r="K74" s="98" t="s">
        <v>216</v>
      </c>
      <c r="L74" s="99" t="s">
        <v>236</v>
      </c>
      <c r="M74" s="98" t="s">
        <v>394</v>
      </c>
      <c r="N74" s="99" t="s">
        <v>234</v>
      </c>
      <c r="O74" s="98" t="s">
        <v>395</v>
      </c>
      <c r="P74" s="99" t="s">
        <v>246</v>
      </c>
      <c r="Q74" s="98" t="s">
        <v>396</v>
      </c>
      <c r="R74" s="68" t="s">
        <v>388</v>
      </c>
      <c r="S74" s="98" t="s">
        <v>299</v>
      </c>
      <c r="T74" s="1" t="s">
        <v>296</v>
      </c>
      <c r="U74" s="1" t="s">
        <v>397</v>
      </c>
      <c r="V74" s="1" t="s">
        <v>302</v>
      </c>
      <c r="W74" s="98" t="s">
        <v>301</v>
      </c>
    </row>
    <row r="75" spans="2:23" x14ac:dyDescent="0.25">
      <c r="B75" s="460"/>
      <c r="C75" s="51" t="str">
        <f t="shared" si="1"/>
        <v>33055036</v>
      </c>
      <c r="D75" s="68" t="s">
        <v>386</v>
      </c>
      <c r="E75" s="98" t="s">
        <v>211</v>
      </c>
      <c r="F75" s="98" t="s">
        <v>230</v>
      </c>
      <c r="G75" s="98" t="s">
        <v>393</v>
      </c>
      <c r="H75" s="98" t="s">
        <v>220</v>
      </c>
      <c r="I75" s="1" t="s">
        <v>215</v>
      </c>
      <c r="J75" s="1" t="s">
        <v>217</v>
      </c>
      <c r="K75" s="98" t="s">
        <v>216</v>
      </c>
      <c r="L75" s="99" t="s">
        <v>236</v>
      </c>
      <c r="M75" s="98" t="s">
        <v>394</v>
      </c>
      <c r="N75" s="99" t="s">
        <v>234</v>
      </c>
      <c r="O75" s="98" t="s">
        <v>395</v>
      </c>
      <c r="P75" s="99" t="s">
        <v>247</v>
      </c>
      <c r="Q75" s="98" t="s">
        <v>396</v>
      </c>
      <c r="R75" s="68" t="s">
        <v>388</v>
      </c>
      <c r="S75" s="98" t="s">
        <v>299</v>
      </c>
      <c r="T75" s="1" t="s">
        <v>296</v>
      </c>
      <c r="U75" s="1" t="s">
        <v>397</v>
      </c>
      <c r="V75" s="1" t="s">
        <v>302</v>
      </c>
      <c r="W75" s="98" t="s">
        <v>301</v>
      </c>
    </row>
    <row r="76" spans="2:23" x14ac:dyDescent="0.25">
      <c r="B76" s="460"/>
      <c r="C76" s="51" t="str">
        <f t="shared" si="1"/>
        <v>33055037</v>
      </c>
      <c r="D76" s="68" t="s">
        <v>386</v>
      </c>
      <c r="E76" s="98" t="s">
        <v>211</v>
      </c>
      <c r="F76" s="98" t="s">
        <v>230</v>
      </c>
      <c r="G76" s="98" t="s">
        <v>393</v>
      </c>
      <c r="H76" s="98" t="s">
        <v>220</v>
      </c>
      <c r="I76" s="1" t="s">
        <v>215</v>
      </c>
      <c r="J76" s="1" t="s">
        <v>217</v>
      </c>
      <c r="K76" s="98" t="s">
        <v>216</v>
      </c>
      <c r="L76" s="99" t="s">
        <v>236</v>
      </c>
      <c r="M76" s="98" t="s">
        <v>394</v>
      </c>
      <c r="N76" s="99" t="s">
        <v>234</v>
      </c>
      <c r="O76" s="98" t="s">
        <v>395</v>
      </c>
      <c r="P76" s="99" t="s">
        <v>248</v>
      </c>
      <c r="Q76" s="98" t="s">
        <v>396</v>
      </c>
      <c r="R76" s="68" t="s">
        <v>388</v>
      </c>
      <c r="S76" s="98" t="s">
        <v>299</v>
      </c>
      <c r="T76" s="1" t="s">
        <v>296</v>
      </c>
      <c r="U76" s="1" t="s">
        <v>397</v>
      </c>
      <c r="V76" s="1" t="s">
        <v>302</v>
      </c>
      <c r="W76" s="98" t="s">
        <v>301</v>
      </c>
    </row>
    <row r="77" spans="2:23" x14ac:dyDescent="0.25">
      <c r="B77" s="460"/>
      <c r="C77" s="51" t="str">
        <f t="shared" si="1"/>
        <v>33055038</v>
      </c>
      <c r="D77" s="68" t="s">
        <v>386</v>
      </c>
      <c r="E77" s="98" t="s">
        <v>211</v>
      </c>
      <c r="F77" s="98" t="s">
        <v>230</v>
      </c>
      <c r="G77" s="98" t="s">
        <v>393</v>
      </c>
      <c r="H77" s="98" t="s">
        <v>220</v>
      </c>
      <c r="I77" s="1" t="s">
        <v>215</v>
      </c>
      <c r="J77" s="1" t="s">
        <v>217</v>
      </c>
      <c r="K77" s="98" t="s">
        <v>216</v>
      </c>
      <c r="L77" s="99" t="s">
        <v>236</v>
      </c>
      <c r="M77" s="98" t="s">
        <v>394</v>
      </c>
      <c r="N77" s="99" t="s">
        <v>234</v>
      </c>
      <c r="O77" s="98" t="s">
        <v>395</v>
      </c>
      <c r="P77" s="99" t="s">
        <v>249</v>
      </c>
      <c r="Q77" s="98" t="s">
        <v>396</v>
      </c>
      <c r="R77" s="68" t="s">
        <v>388</v>
      </c>
      <c r="S77" s="98" t="s">
        <v>299</v>
      </c>
      <c r="T77" s="1" t="s">
        <v>296</v>
      </c>
      <c r="U77" s="1" t="s">
        <v>397</v>
      </c>
      <c r="V77" s="1" t="s">
        <v>302</v>
      </c>
      <c r="W77" s="98" t="s">
        <v>301</v>
      </c>
    </row>
    <row r="78" spans="2:23" x14ac:dyDescent="0.25">
      <c r="B78" s="460"/>
      <c r="C78" s="51" t="str">
        <f t="shared" si="1"/>
        <v>33055039</v>
      </c>
      <c r="D78" s="68" t="s">
        <v>386</v>
      </c>
      <c r="E78" s="98" t="s">
        <v>211</v>
      </c>
      <c r="F78" s="98" t="s">
        <v>230</v>
      </c>
      <c r="G78" s="98" t="s">
        <v>393</v>
      </c>
      <c r="H78" s="98" t="s">
        <v>220</v>
      </c>
      <c r="I78" s="1" t="s">
        <v>215</v>
      </c>
      <c r="J78" s="1" t="s">
        <v>217</v>
      </c>
      <c r="K78" s="98" t="s">
        <v>216</v>
      </c>
      <c r="L78" s="99" t="s">
        <v>236</v>
      </c>
      <c r="M78" s="98" t="s">
        <v>394</v>
      </c>
      <c r="N78" s="99" t="s">
        <v>234</v>
      </c>
      <c r="O78" s="98" t="s">
        <v>395</v>
      </c>
      <c r="P78" s="99" t="s">
        <v>250</v>
      </c>
      <c r="Q78" s="98" t="s">
        <v>396</v>
      </c>
      <c r="R78" s="68" t="s">
        <v>388</v>
      </c>
      <c r="S78" s="98" t="s">
        <v>299</v>
      </c>
      <c r="T78" s="1" t="s">
        <v>296</v>
      </c>
      <c r="U78" s="1" t="s">
        <v>397</v>
      </c>
      <c r="V78" s="1" t="s">
        <v>302</v>
      </c>
      <c r="W78" s="98" t="s">
        <v>301</v>
      </c>
    </row>
    <row r="79" spans="2:23" x14ac:dyDescent="0.25">
      <c r="B79" s="460"/>
      <c r="C79" s="51" t="str">
        <f t="shared" si="1"/>
        <v>33055040</v>
      </c>
      <c r="D79" s="68" t="s">
        <v>386</v>
      </c>
      <c r="E79" s="98" t="s">
        <v>211</v>
      </c>
      <c r="F79" s="98" t="s">
        <v>230</v>
      </c>
      <c r="G79" s="98" t="s">
        <v>393</v>
      </c>
      <c r="H79" s="98" t="s">
        <v>220</v>
      </c>
      <c r="I79" s="1" t="s">
        <v>215</v>
      </c>
      <c r="J79" s="1" t="s">
        <v>217</v>
      </c>
      <c r="K79" s="98" t="s">
        <v>216</v>
      </c>
      <c r="L79" s="99" t="s">
        <v>236</v>
      </c>
      <c r="M79" s="98" t="s">
        <v>394</v>
      </c>
      <c r="N79" s="99" t="s">
        <v>234</v>
      </c>
      <c r="O79" s="98" t="s">
        <v>395</v>
      </c>
      <c r="P79" s="99" t="s">
        <v>251</v>
      </c>
      <c r="Q79" s="98" t="s">
        <v>396</v>
      </c>
      <c r="R79" s="68" t="s">
        <v>388</v>
      </c>
      <c r="S79" s="98" t="s">
        <v>299</v>
      </c>
      <c r="T79" s="1" t="s">
        <v>296</v>
      </c>
      <c r="U79" s="1" t="s">
        <v>397</v>
      </c>
      <c r="V79" s="1" t="s">
        <v>302</v>
      </c>
      <c r="W79" s="98" t="s">
        <v>301</v>
      </c>
    </row>
    <row r="80" spans="2:23" x14ac:dyDescent="0.25">
      <c r="B80" s="460"/>
      <c r="C80" s="51" t="str">
        <f t="shared" si="1"/>
        <v>33055041</v>
      </c>
      <c r="D80" s="68" t="s">
        <v>386</v>
      </c>
      <c r="E80" s="98" t="s">
        <v>211</v>
      </c>
      <c r="F80" s="98" t="s">
        <v>230</v>
      </c>
      <c r="G80" s="98" t="s">
        <v>393</v>
      </c>
      <c r="H80" s="98" t="s">
        <v>220</v>
      </c>
      <c r="I80" s="1" t="s">
        <v>215</v>
      </c>
      <c r="J80" s="1" t="s">
        <v>217</v>
      </c>
      <c r="K80" s="98" t="s">
        <v>216</v>
      </c>
      <c r="L80" s="99" t="s">
        <v>236</v>
      </c>
      <c r="M80" s="98" t="s">
        <v>394</v>
      </c>
      <c r="N80" s="99" t="s">
        <v>234</v>
      </c>
      <c r="O80" s="98" t="s">
        <v>395</v>
      </c>
      <c r="P80" s="99" t="s">
        <v>252</v>
      </c>
      <c r="Q80" s="98" t="s">
        <v>396</v>
      </c>
      <c r="R80" s="68" t="s">
        <v>388</v>
      </c>
      <c r="S80" s="98" t="s">
        <v>299</v>
      </c>
      <c r="T80" s="1" t="s">
        <v>296</v>
      </c>
      <c r="U80" s="1" t="s">
        <v>397</v>
      </c>
      <c r="V80" s="1" t="s">
        <v>302</v>
      </c>
      <c r="W80" s="98" t="s">
        <v>301</v>
      </c>
    </row>
    <row r="81" spans="2:23" x14ac:dyDescent="0.25">
      <c r="B81" s="460"/>
      <c r="C81" s="51" t="str">
        <f t="shared" si="1"/>
        <v>33055042</v>
      </c>
      <c r="D81" s="68" t="s">
        <v>386</v>
      </c>
      <c r="E81" s="98" t="s">
        <v>211</v>
      </c>
      <c r="F81" s="98" t="s">
        <v>230</v>
      </c>
      <c r="G81" s="98" t="s">
        <v>393</v>
      </c>
      <c r="H81" s="98" t="s">
        <v>220</v>
      </c>
      <c r="I81" s="1" t="s">
        <v>215</v>
      </c>
      <c r="J81" s="1" t="s">
        <v>217</v>
      </c>
      <c r="K81" s="98" t="s">
        <v>216</v>
      </c>
      <c r="L81" s="99" t="s">
        <v>236</v>
      </c>
      <c r="M81" s="98" t="s">
        <v>394</v>
      </c>
      <c r="N81" s="99" t="s">
        <v>234</v>
      </c>
      <c r="O81" s="98" t="s">
        <v>395</v>
      </c>
      <c r="P81" s="99" t="s">
        <v>253</v>
      </c>
      <c r="Q81" s="98" t="s">
        <v>396</v>
      </c>
      <c r="R81" s="68" t="s">
        <v>388</v>
      </c>
      <c r="S81" s="98" t="s">
        <v>299</v>
      </c>
      <c r="T81" s="1" t="s">
        <v>296</v>
      </c>
      <c r="U81" s="1" t="s">
        <v>397</v>
      </c>
      <c r="V81" s="1" t="s">
        <v>302</v>
      </c>
      <c r="W81" s="98" t="s">
        <v>301</v>
      </c>
    </row>
    <row r="82" spans="2:23" x14ac:dyDescent="0.25">
      <c r="B82" s="460"/>
      <c r="C82" s="51" t="str">
        <f t="shared" si="1"/>
        <v>33055043</v>
      </c>
      <c r="D82" s="68" t="s">
        <v>386</v>
      </c>
      <c r="E82" s="98" t="s">
        <v>211</v>
      </c>
      <c r="F82" s="98" t="s">
        <v>230</v>
      </c>
      <c r="G82" s="98" t="s">
        <v>393</v>
      </c>
      <c r="H82" s="98" t="s">
        <v>220</v>
      </c>
      <c r="I82" s="1" t="s">
        <v>215</v>
      </c>
      <c r="J82" s="1" t="s">
        <v>217</v>
      </c>
      <c r="K82" s="98" t="s">
        <v>216</v>
      </c>
      <c r="L82" s="99" t="s">
        <v>236</v>
      </c>
      <c r="M82" s="98" t="s">
        <v>394</v>
      </c>
      <c r="N82" s="99" t="s">
        <v>234</v>
      </c>
      <c r="O82" s="98" t="s">
        <v>395</v>
      </c>
      <c r="P82" s="99" t="s">
        <v>254</v>
      </c>
      <c r="Q82" s="98" t="s">
        <v>396</v>
      </c>
      <c r="R82" s="68" t="s">
        <v>388</v>
      </c>
      <c r="S82" s="98" t="s">
        <v>299</v>
      </c>
      <c r="T82" s="1" t="s">
        <v>296</v>
      </c>
      <c r="U82" s="1" t="s">
        <v>397</v>
      </c>
      <c r="V82" s="1" t="s">
        <v>302</v>
      </c>
      <c r="W82" s="98" t="s">
        <v>301</v>
      </c>
    </row>
    <row r="83" spans="2:23" x14ac:dyDescent="0.25">
      <c r="B83" s="460"/>
      <c r="C83" s="51" t="str">
        <f t="shared" si="1"/>
        <v>33055044</v>
      </c>
      <c r="D83" s="68" t="s">
        <v>386</v>
      </c>
      <c r="E83" s="98" t="s">
        <v>211</v>
      </c>
      <c r="F83" s="98" t="s">
        <v>230</v>
      </c>
      <c r="G83" s="98" t="s">
        <v>393</v>
      </c>
      <c r="H83" s="98" t="s">
        <v>220</v>
      </c>
      <c r="I83" s="1" t="s">
        <v>215</v>
      </c>
      <c r="J83" s="1" t="s">
        <v>217</v>
      </c>
      <c r="K83" s="98" t="s">
        <v>216</v>
      </c>
      <c r="L83" s="99" t="s">
        <v>236</v>
      </c>
      <c r="M83" s="98" t="s">
        <v>394</v>
      </c>
      <c r="N83" s="99" t="s">
        <v>234</v>
      </c>
      <c r="O83" s="98" t="s">
        <v>395</v>
      </c>
      <c r="P83" s="99" t="s">
        <v>255</v>
      </c>
      <c r="Q83" s="98" t="s">
        <v>396</v>
      </c>
      <c r="R83" s="68" t="s">
        <v>388</v>
      </c>
      <c r="S83" s="98" t="s">
        <v>299</v>
      </c>
      <c r="T83" s="1" t="s">
        <v>296</v>
      </c>
      <c r="U83" s="1" t="s">
        <v>397</v>
      </c>
      <c r="V83" s="1" t="s">
        <v>302</v>
      </c>
      <c r="W83" s="98" t="s">
        <v>301</v>
      </c>
    </row>
    <row r="84" spans="2:23" x14ac:dyDescent="0.25">
      <c r="B84" s="460"/>
      <c r="C84" s="51" t="str">
        <f t="shared" si="1"/>
        <v>33055045</v>
      </c>
      <c r="D84" s="68" t="s">
        <v>386</v>
      </c>
      <c r="E84" s="98" t="s">
        <v>211</v>
      </c>
      <c r="F84" s="98" t="s">
        <v>230</v>
      </c>
      <c r="G84" s="98" t="s">
        <v>393</v>
      </c>
      <c r="H84" s="98" t="s">
        <v>220</v>
      </c>
      <c r="I84" s="1" t="s">
        <v>215</v>
      </c>
      <c r="J84" s="1" t="s">
        <v>217</v>
      </c>
      <c r="K84" s="98" t="s">
        <v>216</v>
      </c>
      <c r="L84" s="99" t="s">
        <v>236</v>
      </c>
      <c r="M84" s="98" t="s">
        <v>394</v>
      </c>
      <c r="N84" s="99" t="s">
        <v>234</v>
      </c>
      <c r="O84" s="98" t="s">
        <v>395</v>
      </c>
      <c r="P84" s="99" t="s">
        <v>256</v>
      </c>
      <c r="Q84" s="98" t="s">
        <v>396</v>
      </c>
      <c r="R84" s="68" t="s">
        <v>388</v>
      </c>
      <c r="S84" s="98" t="s">
        <v>299</v>
      </c>
      <c r="T84" s="1" t="s">
        <v>296</v>
      </c>
      <c r="U84" s="1" t="s">
        <v>397</v>
      </c>
      <c r="V84" s="1" t="s">
        <v>302</v>
      </c>
      <c r="W84" s="98" t="s">
        <v>301</v>
      </c>
    </row>
    <row r="85" spans="2:23" x14ac:dyDescent="0.25">
      <c r="B85" s="460"/>
      <c r="C85" s="51" t="str">
        <f t="shared" si="1"/>
        <v>33055046</v>
      </c>
      <c r="D85" s="68" t="s">
        <v>386</v>
      </c>
      <c r="E85" s="98" t="s">
        <v>211</v>
      </c>
      <c r="F85" s="98" t="s">
        <v>230</v>
      </c>
      <c r="G85" s="98" t="s">
        <v>393</v>
      </c>
      <c r="H85" s="98" t="s">
        <v>220</v>
      </c>
      <c r="I85" s="1" t="s">
        <v>215</v>
      </c>
      <c r="J85" s="1" t="s">
        <v>217</v>
      </c>
      <c r="K85" s="98" t="s">
        <v>216</v>
      </c>
      <c r="L85" s="99" t="s">
        <v>236</v>
      </c>
      <c r="M85" s="98" t="s">
        <v>394</v>
      </c>
      <c r="N85" s="99" t="s">
        <v>234</v>
      </c>
      <c r="O85" s="98" t="s">
        <v>395</v>
      </c>
      <c r="P85" s="99" t="s">
        <v>257</v>
      </c>
      <c r="Q85" s="98" t="s">
        <v>396</v>
      </c>
      <c r="R85" s="68" t="s">
        <v>388</v>
      </c>
      <c r="S85" s="98" t="s">
        <v>299</v>
      </c>
      <c r="T85" s="1" t="s">
        <v>296</v>
      </c>
      <c r="U85" s="1" t="s">
        <v>397</v>
      </c>
      <c r="V85" s="1" t="s">
        <v>302</v>
      </c>
      <c r="W85" s="98" t="s">
        <v>301</v>
      </c>
    </row>
    <row r="86" spans="2:23" x14ac:dyDescent="0.25">
      <c r="B86" s="460"/>
      <c r="C86" s="51" t="str">
        <f t="shared" si="1"/>
        <v>33055047</v>
      </c>
      <c r="D86" s="68" t="s">
        <v>386</v>
      </c>
      <c r="E86" s="98" t="s">
        <v>211</v>
      </c>
      <c r="F86" s="98" t="s">
        <v>230</v>
      </c>
      <c r="G86" s="98" t="s">
        <v>393</v>
      </c>
      <c r="H86" s="98" t="s">
        <v>220</v>
      </c>
      <c r="I86" s="1" t="s">
        <v>215</v>
      </c>
      <c r="J86" s="1" t="s">
        <v>217</v>
      </c>
      <c r="K86" s="98" t="s">
        <v>216</v>
      </c>
      <c r="L86" s="99" t="s">
        <v>236</v>
      </c>
      <c r="M86" s="98" t="s">
        <v>394</v>
      </c>
      <c r="N86" s="99" t="s">
        <v>234</v>
      </c>
      <c r="O86" s="98" t="s">
        <v>395</v>
      </c>
      <c r="P86" s="99" t="s">
        <v>258</v>
      </c>
      <c r="Q86" s="98" t="s">
        <v>396</v>
      </c>
      <c r="R86" s="68" t="s">
        <v>388</v>
      </c>
      <c r="S86" s="98" t="s">
        <v>299</v>
      </c>
      <c r="T86" s="1" t="s">
        <v>296</v>
      </c>
      <c r="U86" s="1" t="s">
        <v>397</v>
      </c>
      <c r="V86" s="1" t="s">
        <v>302</v>
      </c>
      <c r="W86" s="98" t="s">
        <v>301</v>
      </c>
    </row>
    <row r="87" spans="2:23" x14ac:dyDescent="0.25">
      <c r="B87" s="460"/>
      <c r="C87" s="51" t="str">
        <f t="shared" si="1"/>
        <v>33055048</v>
      </c>
      <c r="D87" s="68" t="s">
        <v>386</v>
      </c>
      <c r="E87" s="98" t="s">
        <v>211</v>
      </c>
      <c r="F87" s="98" t="s">
        <v>230</v>
      </c>
      <c r="G87" s="98" t="s">
        <v>393</v>
      </c>
      <c r="H87" s="98" t="s">
        <v>220</v>
      </c>
      <c r="I87" s="1" t="s">
        <v>215</v>
      </c>
      <c r="J87" s="1" t="s">
        <v>217</v>
      </c>
      <c r="K87" s="98" t="s">
        <v>216</v>
      </c>
      <c r="L87" s="99" t="s">
        <v>236</v>
      </c>
      <c r="M87" s="98" t="s">
        <v>394</v>
      </c>
      <c r="N87" s="99" t="s">
        <v>234</v>
      </c>
      <c r="O87" s="98" t="s">
        <v>395</v>
      </c>
      <c r="P87" s="99" t="s">
        <v>259</v>
      </c>
      <c r="Q87" s="98" t="s">
        <v>396</v>
      </c>
      <c r="R87" s="68" t="s">
        <v>388</v>
      </c>
      <c r="S87" s="98" t="s">
        <v>299</v>
      </c>
      <c r="T87" s="1" t="s">
        <v>296</v>
      </c>
      <c r="U87" s="1" t="s">
        <v>397</v>
      </c>
      <c r="V87" s="1" t="s">
        <v>302</v>
      </c>
      <c r="W87" s="98" t="s">
        <v>301</v>
      </c>
    </row>
    <row r="88" spans="2:23" x14ac:dyDescent="0.25">
      <c r="B88" s="460"/>
      <c r="C88" s="51" t="str">
        <f t="shared" si="1"/>
        <v>33055049</v>
      </c>
      <c r="D88" s="68" t="s">
        <v>386</v>
      </c>
      <c r="E88" s="98" t="s">
        <v>211</v>
      </c>
      <c r="F88" s="98" t="s">
        <v>230</v>
      </c>
      <c r="G88" s="98" t="s">
        <v>393</v>
      </c>
      <c r="H88" s="98" t="s">
        <v>220</v>
      </c>
      <c r="I88" s="1" t="s">
        <v>215</v>
      </c>
      <c r="J88" s="1" t="s">
        <v>217</v>
      </c>
      <c r="K88" s="98" t="s">
        <v>216</v>
      </c>
      <c r="L88" s="99" t="s">
        <v>236</v>
      </c>
      <c r="M88" s="98" t="s">
        <v>394</v>
      </c>
      <c r="N88" s="99" t="s">
        <v>234</v>
      </c>
      <c r="O88" s="98" t="s">
        <v>395</v>
      </c>
      <c r="P88" s="99" t="s">
        <v>260</v>
      </c>
      <c r="Q88" s="98" t="s">
        <v>396</v>
      </c>
      <c r="R88" s="68" t="s">
        <v>388</v>
      </c>
      <c r="S88" s="98" t="s">
        <v>299</v>
      </c>
      <c r="T88" s="1" t="s">
        <v>296</v>
      </c>
      <c r="U88" s="1" t="s">
        <v>397</v>
      </c>
      <c r="V88" s="1" t="s">
        <v>302</v>
      </c>
      <c r="W88" s="98" t="s">
        <v>301</v>
      </c>
    </row>
    <row r="89" spans="2:23" x14ac:dyDescent="0.25">
      <c r="B89" s="460"/>
      <c r="C89" s="51" t="str">
        <f t="shared" si="1"/>
        <v>33055050</v>
      </c>
      <c r="D89" s="68" t="s">
        <v>386</v>
      </c>
      <c r="E89" s="98" t="s">
        <v>211</v>
      </c>
      <c r="F89" s="98" t="s">
        <v>230</v>
      </c>
      <c r="G89" s="98" t="s">
        <v>393</v>
      </c>
      <c r="H89" s="98" t="s">
        <v>220</v>
      </c>
      <c r="I89" s="1" t="s">
        <v>215</v>
      </c>
      <c r="J89" s="1" t="s">
        <v>217</v>
      </c>
      <c r="K89" s="98" t="s">
        <v>216</v>
      </c>
      <c r="L89" s="99" t="s">
        <v>236</v>
      </c>
      <c r="M89" s="98" t="s">
        <v>394</v>
      </c>
      <c r="N89" s="99" t="s">
        <v>234</v>
      </c>
      <c r="O89" s="98" t="s">
        <v>395</v>
      </c>
      <c r="P89" s="99" t="s">
        <v>261</v>
      </c>
      <c r="Q89" s="98" t="s">
        <v>396</v>
      </c>
      <c r="R89" s="68" t="s">
        <v>388</v>
      </c>
      <c r="S89" s="98" t="s">
        <v>299</v>
      </c>
      <c r="T89" s="1" t="s">
        <v>296</v>
      </c>
      <c r="U89" s="1" t="s">
        <v>397</v>
      </c>
      <c r="V89" s="1" t="s">
        <v>302</v>
      </c>
      <c r="W89" s="98" t="s">
        <v>301</v>
      </c>
    </row>
    <row r="90" spans="2:23" x14ac:dyDescent="0.25">
      <c r="B90" s="460"/>
      <c r="C90" s="105" t="str">
        <f>D31</f>
        <v>33055051</v>
      </c>
      <c r="D90" s="68" t="s">
        <v>386</v>
      </c>
      <c r="E90" s="98" t="s">
        <v>211</v>
      </c>
      <c r="F90" s="98" t="s">
        <v>230</v>
      </c>
      <c r="G90" s="98" t="s">
        <v>393</v>
      </c>
      <c r="H90" s="98" t="s">
        <v>220</v>
      </c>
      <c r="I90" s="1" t="s">
        <v>215</v>
      </c>
      <c r="J90" s="1" t="s">
        <v>217</v>
      </c>
      <c r="K90" s="98" t="s">
        <v>216</v>
      </c>
      <c r="L90" s="99" t="s">
        <v>236</v>
      </c>
      <c r="M90" s="98" t="s">
        <v>394</v>
      </c>
      <c r="N90" s="99" t="s">
        <v>234</v>
      </c>
      <c r="O90" s="98" t="s">
        <v>395</v>
      </c>
      <c r="P90" s="99" t="s">
        <v>261</v>
      </c>
      <c r="Q90" s="98" t="s">
        <v>396</v>
      </c>
      <c r="R90" s="68" t="s">
        <v>388</v>
      </c>
      <c r="S90" s="98" t="s">
        <v>299</v>
      </c>
      <c r="T90" s="1" t="s">
        <v>296</v>
      </c>
      <c r="U90" s="1" t="s">
        <v>397</v>
      </c>
      <c r="V90" s="1" t="s">
        <v>302</v>
      </c>
      <c r="W90" s="98" t="s">
        <v>301</v>
      </c>
    </row>
    <row r="91" spans="2:23" s="57" customFormat="1" ht="13.8" thickBot="1" x14ac:dyDescent="0.3">
      <c r="B91" s="461"/>
      <c r="C91" s="51" t="str">
        <f>D32</f>
        <v>33055052</v>
      </c>
      <c r="D91" s="69" t="s">
        <v>386</v>
      </c>
      <c r="E91" s="100" t="s">
        <v>211</v>
      </c>
      <c r="F91" s="100" t="s">
        <v>230</v>
      </c>
      <c r="G91" s="98" t="s">
        <v>393</v>
      </c>
      <c r="H91" s="100" t="s">
        <v>220</v>
      </c>
      <c r="I91" s="56" t="s">
        <v>215</v>
      </c>
      <c r="J91" s="56" t="s">
        <v>217</v>
      </c>
      <c r="K91" s="100" t="s">
        <v>216</v>
      </c>
      <c r="L91" s="101" t="s">
        <v>236</v>
      </c>
      <c r="M91" s="98" t="s">
        <v>394</v>
      </c>
      <c r="N91" s="101" t="s">
        <v>234</v>
      </c>
      <c r="O91" s="98" t="s">
        <v>395</v>
      </c>
      <c r="P91" s="99" t="s">
        <v>262</v>
      </c>
      <c r="Q91" s="98" t="s">
        <v>396</v>
      </c>
      <c r="R91" s="69" t="s">
        <v>388</v>
      </c>
      <c r="S91" s="100" t="s">
        <v>299</v>
      </c>
      <c r="T91" s="56" t="s">
        <v>296</v>
      </c>
      <c r="U91" s="56" t="s">
        <v>397</v>
      </c>
      <c r="V91" s="56" t="s">
        <v>302</v>
      </c>
      <c r="W91" s="100" t="s">
        <v>301</v>
      </c>
    </row>
    <row r="92" spans="2:23" x14ac:dyDescent="0.25">
      <c r="B92" s="460" t="s">
        <v>385</v>
      </c>
      <c r="C92" s="51" t="str">
        <f t="shared" ref="C92:C117" si="2">E5</f>
        <v>64075025</v>
      </c>
      <c r="D92" s="68" t="s">
        <v>387</v>
      </c>
      <c r="E92" s="98" t="s">
        <v>211</v>
      </c>
      <c r="F92" s="98" t="s">
        <v>230</v>
      </c>
      <c r="G92" s="98" t="s">
        <v>391</v>
      </c>
      <c r="H92" s="98" t="s">
        <v>220</v>
      </c>
      <c r="I92" s="1" t="s">
        <v>215</v>
      </c>
      <c r="J92" s="1" t="s">
        <v>217</v>
      </c>
      <c r="K92" s="98" t="s">
        <v>216</v>
      </c>
      <c r="L92" s="99" t="s">
        <v>236</v>
      </c>
      <c r="M92" s="98" t="s">
        <v>394</v>
      </c>
      <c r="N92" s="99" t="s">
        <v>234</v>
      </c>
      <c r="O92" s="98" t="s">
        <v>395</v>
      </c>
      <c r="P92" s="99" t="s">
        <v>262</v>
      </c>
      <c r="Q92" s="98" t="s">
        <v>396</v>
      </c>
      <c r="R92" s="68" t="s">
        <v>389</v>
      </c>
      <c r="S92" s="98" t="s">
        <v>299</v>
      </c>
      <c r="T92" s="1" t="s">
        <v>296</v>
      </c>
      <c r="U92" s="1" t="s">
        <v>398</v>
      </c>
      <c r="V92" s="1" t="s">
        <v>302</v>
      </c>
      <c r="W92" s="98" t="s">
        <v>301</v>
      </c>
    </row>
    <row r="93" spans="2:23" x14ac:dyDescent="0.25">
      <c r="B93" s="460"/>
      <c r="C93" s="51" t="str">
        <f t="shared" si="2"/>
        <v>64075026</v>
      </c>
      <c r="D93" s="68" t="s">
        <v>387</v>
      </c>
      <c r="E93" s="98" t="s">
        <v>211</v>
      </c>
      <c r="F93" s="98" t="s">
        <v>230</v>
      </c>
      <c r="G93" s="98" t="s">
        <v>391</v>
      </c>
      <c r="H93" s="98" t="s">
        <v>220</v>
      </c>
      <c r="I93" s="1" t="s">
        <v>215</v>
      </c>
      <c r="J93" s="1" t="s">
        <v>217</v>
      </c>
      <c r="K93" s="98" t="s">
        <v>216</v>
      </c>
      <c r="L93" s="99" t="s">
        <v>236</v>
      </c>
      <c r="M93" s="98" t="s">
        <v>394</v>
      </c>
      <c r="N93" s="99" t="s">
        <v>234</v>
      </c>
      <c r="O93" s="98" t="s">
        <v>395</v>
      </c>
      <c r="P93" s="99" t="s">
        <v>263</v>
      </c>
      <c r="Q93" s="98" t="s">
        <v>396</v>
      </c>
      <c r="R93" s="68" t="s">
        <v>389</v>
      </c>
      <c r="S93" s="98" t="s">
        <v>299</v>
      </c>
      <c r="T93" s="1" t="s">
        <v>296</v>
      </c>
      <c r="U93" s="1" t="s">
        <v>398</v>
      </c>
      <c r="V93" s="1" t="s">
        <v>302</v>
      </c>
      <c r="W93" s="98" t="s">
        <v>301</v>
      </c>
    </row>
    <row r="94" spans="2:23" x14ac:dyDescent="0.25">
      <c r="B94" s="460"/>
      <c r="C94" s="51" t="str">
        <f t="shared" si="2"/>
        <v>64075027</v>
      </c>
      <c r="D94" s="68" t="s">
        <v>387</v>
      </c>
      <c r="E94" s="98" t="s">
        <v>211</v>
      </c>
      <c r="F94" s="98" t="s">
        <v>230</v>
      </c>
      <c r="G94" s="98" t="s">
        <v>391</v>
      </c>
      <c r="H94" s="98" t="s">
        <v>220</v>
      </c>
      <c r="I94" s="1" t="s">
        <v>215</v>
      </c>
      <c r="J94" s="1" t="s">
        <v>217</v>
      </c>
      <c r="K94" s="98" t="s">
        <v>216</v>
      </c>
      <c r="L94" s="99" t="s">
        <v>236</v>
      </c>
      <c r="M94" s="98" t="s">
        <v>394</v>
      </c>
      <c r="N94" s="99" t="s">
        <v>234</v>
      </c>
      <c r="O94" s="98" t="s">
        <v>395</v>
      </c>
      <c r="P94" s="99" t="s">
        <v>264</v>
      </c>
      <c r="Q94" s="98" t="s">
        <v>396</v>
      </c>
      <c r="R94" s="68" t="s">
        <v>389</v>
      </c>
      <c r="S94" s="98" t="s">
        <v>299</v>
      </c>
      <c r="T94" s="1" t="s">
        <v>296</v>
      </c>
      <c r="U94" s="1" t="s">
        <v>398</v>
      </c>
      <c r="V94" s="1" t="s">
        <v>302</v>
      </c>
      <c r="W94" s="98" t="s">
        <v>301</v>
      </c>
    </row>
    <row r="95" spans="2:23" x14ac:dyDescent="0.25">
      <c r="B95" s="460"/>
      <c r="C95" s="51" t="str">
        <f t="shared" si="2"/>
        <v>64075028</v>
      </c>
      <c r="D95" s="68" t="s">
        <v>387</v>
      </c>
      <c r="E95" s="98" t="s">
        <v>211</v>
      </c>
      <c r="F95" s="98" t="s">
        <v>230</v>
      </c>
      <c r="G95" s="98" t="s">
        <v>391</v>
      </c>
      <c r="H95" s="98" t="s">
        <v>220</v>
      </c>
      <c r="I95" s="1" t="s">
        <v>215</v>
      </c>
      <c r="J95" s="1" t="s">
        <v>217</v>
      </c>
      <c r="K95" s="98" t="s">
        <v>216</v>
      </c>
      <c r="L95" s="99" t="s">
        <v>236</v>
      </c>
      <c r="M95" s="98" t="s">
        <v>394</v>
      </c>
      <c r="N95" s="99" t="s">
        <v>234</v>
      </c>
      <c r="O95" s="98" t="s">
        <v>395</v>
      </c>
      <c r="P95" s="99" t="s">
        <v>265</v>
      </c>
      <c r="Q95" s="98" t="s">
        <v>396</v>
      </c>
      <c r="R95" s="68" t="s">
        <v>389</v>
      </c>
      <c r="S95" s="98" t="s">
        <v>299</v>
      </c>
      <c r="T95" s="1" t="s">
        <v>296</v>
      </c>
      <c r="U95" s="1" t="s">
        <v>398</v>
      </c>
      <c r="V95" s="1" t="s">
        <v>302</v>
      </c>
      <c r="W95" s="98" t="s">
        <v>301</v>
      </c>
    </row>
    <row r="96" spans="2:23" x14ac:dyDescent="0.25">
      <c r="B96" s="460"/>
      <c r="C96" s="51" t="str">
        <f t="shared" si="2"/>
        <v>64075029</v>
      </c>
      <c r="D96" s="68" t="s">
        <v>387</v>
      </c>
      <c r="E96" s="98" t="s">
        <v>211</v>
      </c>
      <c r="F96" s="98" t="s">
        <v>230</v>
      </c>
      <c r="G96" s="98" t="s">
        <v>391</v>
      </c>
      <c r="H96" s="98" t="s">
        <v>220</v>
      </c>
      <c r="I96" s="1" t="s">
        <v>215</v>
      </c>
      <c r="J96" s="1" t="s">
        <v>217</v>
      </c>
      <c r="K96" s="98" t="s">
        <v>216</v>
      </c>
      <c r="L96" s="99" t="s">
        <v>236</v>
      </c>
      <c r="M96" s="98" t="s">
        <v>394</v>
      </c>
      <c r="N96" s="99" t="s">
        <v>234</v>
      </c>
      <c r="O96" s="98" t="s">
        <v>395</v>
      </c>
      <c r="P96" s="99" t="s">
        <v>266</v>
      </c>
      <c r="Q96" s="98" t="s">
        <v>396</v>
      </c>
      <c r="R96" s="68" t="s">
        <v>389</v>
      </c>
      <c r="S96" s="98" t="s">
        <v>299</v>
      </c>
      <c r="T96" s="1" t="s">
        <v>296</v>
      </c>
      <c r="U96" s="1" t="s">
        <v>398</v>
      </c>
      <c r="V96" s="1" t="s">
        <v>302</v>
      </c>
      <c r="W96" s="98" t="s">
        <v>301</v>
      </c>
    </row>
    <row r="97" spans="2:23" x14ac:dyDescent="0.25">
      <c r="B97" s="460"/>
      <c r="C97" s="51" t="str">
        <f t="shared" si="2"/>
        <v>64075030</v>
      </c>
      <c r="D97" s="68" t="s">
        <v>387</v>
      </c>
      <c r="E97" s="98" t="s">
        <v>211</v>
      </c>
      <c r="F97" s="98" t="s">
        <v>230</v>
      </c>
      <c r="G97" s="98" t="s">
        <v>391</v>
      </c>
      <c r="H97" s="98" t="s">
        <v>220</v>
      </c>
      <c r="I97" s="1" t="s">
        <v>215</v>
      </c>
      <c r="J97" s="1" t="s">
        <v>217</v>
      </c>
      <c r="K97" s="98" t="s">
        <v>216</v>
      </c>
      <c r="L97" s="99" t="s">
        <v>236</v>
      </c>
      <c r="M97" s="98" t="s">
        <v>394</v>
      </c>
      <c r="N97" s="99" t="s">
        <v>234</v>
      </c>
      <c r="O97" s="98" t="s">
        <v>395</v>
      </c>
      <c r="P97" s="99" t="s">
        <v>267</v>
      </c>
      <c r="Q97" s="98" t="s">
        <v>396</v>
      </c>
      <c r="R97" s="68" t="s">
        <v>389</v>
      </c>
      <c r="S97" s="98" t="s">
        <v>299</v>
      </c>
      <c r="T97" s="1" t="s">
        <v>296</v>
      </c>
      <c r="U97" s="1" t="s">
        <v>398</v>
      </c>
      <c r="V97" s="1" t="s">
        <v>302</v>
      </c>
      <c r="W97" s="98" t="s">
        <v>301</v>
      </c>
    </row>
    <row r="98" spans="2:23" x14ac:dyDescent="0.25">
      <c r="B98" s="460"/>
      <c r="C98" s="51" t="str">
        <f t="shared" si="2"/>
        <v>64075031</v>
      </c>
      <c r="D98" s="68" t="s">
        <v>387</v>
      </c>
      <c r="E98" s="98" t="s">
        <v>211</v>
      </c>
      <c r="F98" s="98" t="s">
        <v>230</v>
      </c>
      <c r="G98" s="98" t="s">
        <v>391</v>
      </c>
      <c r="H98" s="98" t="s">
        <v>220</v>
      </c>
      <c r="I98" s="1" t="s">
        <v>215</v>
      </c>
      <c r="J98" s="1" t="s">
        <v>217</v>
      </c>
      <c r="K98" s="98" t="s">
        <v>216</v>
      </c>
      <c r="L98" s="99" t="s">
        <v>236</v>
      </c>
      <c r="M98" s="98" t="s">
        <v>394</v>
      </c>
      <c r="N98" s="99" t="s">
        <v>234</v>
      </c>
      <c r="O98" s="98" t="s">
        <v>395</v>
      </c>
      <c r="P98" s="99" t="s">
        <v>268</v>
      </c>
      <c r="Q98" s="98" t="s">
        <v>396</v>
      </c>
      <c r="R98" s="68" t="s">
        <v>389</v>
      </c>
      <c r="S98" s="98" t="s">
        <v>299</v>
      </c>
      <c r="T98" s="1" t="s">
        <v>296</v>
      </c>
      <c r="U98" s="1" t="s">
        <v>398</v>
      </c>
      <c r="V98" s="1" t="s">
        <v>302</v>
      </c>
      <c r="W98" s="98" t="s">
        <v>301</v>
      </c>
    </row>
    <row r="99" spans="2:23" x14ac:dyDescent="0.25">
      <c r="B99" s="460"/>
      <c r="C99" s="51" t="str">
        <f t="shared" si="2"/>
        <v>64075032</v>
      </c>
      <c r="D99" s="68" t="s">
        <v>387</v>
      </c>
      <c r="E99" s="98" t="s">
        <v>211</v>
      </c>
      <c r="F99" s="98" t="s">
        <v>230</v>
      </c>
      <c r="G99" s="98" t="s">
        <v>391</v>
      </c>
      <c r="H99" s="98" t="s">
        <v>220</v>
      </c>
      <c r="I99" s="1" t="s">
        <v>215</v>
      </c>
      <c r="J99" s="1" t="s">
        <v>217</v>
      </c>
      <c r="K99" s="98" t="s">
        <v>216</v>
      </c>
      <c r="L99" s="99" t="s">
        <v>236</v>
      </c>
      <c r="M99" s="98" t="s">
        <v>394</v>
      </c>
      <c r="N99" s="99" t="s">
        <v>234</v>
      </c>
      <c r="O99" s="98" t="s">
        <v>395</v>
      </c>
      <c r="P99" s="99" t="s">
        <v>269</v>
      </c>
      <c r="Q99" s="98" t="s">
        <v>396</v>
      </c>
      <c r="R99" s="68" t="s">
        <v>389</v>
      </c>
      <c r="S99" s="98" t="s">
        <v>299</v>
      </c>
      <c r="T99" s="1" t="s">
        <v>296</v>
      </c>
      <c r="U99" s="1" t="s">
        <v>398</v>
      </c>
      <c r="V99" s="1" t="s">
        <v>302</v>
      </c>
      <c r="W99" s="98" t="s">
        <v>301</v>
      </c>
    </row>
    <row r="100" spans="2:23" x14ac:dyDescent="0.25">
      <c r="B100" s="460"/>
      <c r="C100" s="51" t="str">
        <f t="shared" si="2"/>
        <v>64075033</v>
      </c>
      <c r="D100" s="68" t="s">
        <v>387</v>
      </c>
      <c r="E100" s="98" t="s">
        <v>211</v>
      </c>
      <c r="F100" s="98" t="s">
        <v>230</v>
      </c>
      <c r="G100" s="98" t="s">
        <v>391</v>
      </c>
      <c r="H100" s="98" t="s">
        <v>220</v>
      </c>
      <c r="I100" s="1" t="s">
        <v>215</v>
      </c>
      <c r="J100" s="1" t="s">
        <v>217</v>
      </c>
      <c r="K100" s="98" t="s">
        <v>216</v>
      </c>
      <c r="L100" s="99" t="s">
        <v>236</v>
      </c>
      <c r="M100" s="98" t="s">
        <v>394</v>
      </c>
      <c r="N100" s="99" t="s">
        <v>234</v>
      </c>
      <c r="O100" s="98" t="s">
        <v>395</v>
      </c>
      <c r="P100" s="99" t="s">
        <v>270</v>
      </c>
      <c r="Q100" s="98" t="s">
        <v>396</v>
      </c>
      <c r="R100" s="68" t="s">
        <v>389</v>
      </c>
      <c r="S100" s="98" t="s">
        <v>299</v>
      </c>
      <c r="T100" s="1" t="s">
        <v>296</v>
      </c>
      <c r="U100" s="1" t="s">
        <v>398</v>
      </c>
      <c r="V100" s="1" t="s">
        <v>302</v>
      </c>
      <c r="W100" s="98" t="s">
        <v>301</v>
      </c>
    </row>
    <row r="101" spans="2:23" x14ac:dyDescent="0.25">
      <c r="B101" s="460"/>
      <c r="C101" s="51" t="str">
        <f t="shared" si="2"/>
        <v>64075034</v>
      </c>
      <c r="D101" s="68" t="s">
        <v>387</v>
      </c>
      <c r="E101" s="98" t="s">
        <v>211</v>
      </c>
      <c r="F101" s="98" t="s">
        <v>230</v>
      </c>
      <c r="G101" s="98" t="s">
        <v>391</v>
      </c>
      <c r="H101" s="98" t="s">
        <v>220</v>
      </c>
      <c r="I101" s="1" t="s">
        <v>215</v>
      </c>
      <c r="J101" s="1" t="s">
        <v>217</v>
      </c>
      <c r="K101" s="98" t="s">
        <v>216</v>
      </c>
      <c r="L101" s="99" t="s">
        <v>236</v>
      </c>
      <c r="M101" s="98" t="s">
        <v>394</v>
      </c>
      <c r="N101" s="99" t="s">
        <v>234</v>
      </c>
      <c r="O101" s="98" t="s">
        <v>395</v>
      </c>
      <c r="P101" s="99" t="s">
        <v>271</v>
      </c>
      <c r="Q101" s="98" t="s">
        <v>396</v>
      </c>
      <c r="R101" s="68" t="s">
        <v>389</v>
      </c>
      <c r="S101" s="98" t="s">
        <v>299</v>
      </c>
      <c r="T101" s="1" t="s">
        <v>296</v>
      </c>
      <c r="U101" s="1" t="s">
        <v>398</v>
      </c>
      <c r="V101" s="1" t="s">
        <v>302</v>
      </c>
      <c r="W101" s="98" t="s">
        <v>301</v>
      </c>
    </row>
    <row r="102" spans="2:23" x14ac:dyDescent="0.25">
      <c r="B102" s="460"/>
      <c r="C102" s="51" t="str">
        <f t="shared" si="2"/>
        <v>64075035</v>
      </c>
      <c r="D102" s="68" t="s">
        <v>387</v>
      </c>
      <c r="E102" s="98" t="s">
        <v>211</v>
      </c>
      <c r="F102" s="98" t="s">
        <v>230</v>
      </c>
      <c r="G102" s="98" t="s">
        <v>391</v>
      </c>
      <c r="H102" s="98" t="s">
        <v>220</v>
      </c>
      <c r="I102" s="1" t="s">
        <v>215</v>
      </c>
      <c r="J102" s="1" t="s">
        <v>217</v>
      </c>
      <c r="K102" s="98" t="s">
        <v>216</v>
      </c>
      <c r="L102" s="99" t="s">
        <v>236</v>
      </c>
      <c r="M102" s="98" t="s">
        <v>394</v>
      </c>
      <c r="N102" s="99" t="s">
        <v>234</v>
      </c>
      <c r="O102" s="98" t="s">
        <v>395</v>
      </c>
      <c r="P102" s="99" t="s">
        <v>272</v>
      </c>
      <c r="Q102" s="98" t="s">
        <v>396</v>
      </c>
      <c r="R102" s="68" t="s">
        <v>389</v>
      </c>
      <c r="S102" s="98" t="s">
        <v>299</v>
      </c>
      <c r="T102" s="1" t="s">
        <v>296</v>
      </c>
      <c r="U102" s="1" t="s">
        <v>398</v>
      </c>
      <c r="V102" s="1" t="s">
        <v>302</v>
      </c>
      <c r="W102" s="98" t="s">
        <v>301</v>
      </c>
    </row>
    <row r="103" spans="2:23" x14ac:dyDescent="0.25">
      <c r="B103" s="460"/>
      <c r="C103" s="51" t="str">
        <f t="shared" si="2"/>
        <v>64075036</v>
      </c>
      <c r="D103" s="68" t="s">
        <v>387</v>
      </c>
      <c r="E103" s="98" t="s">
        <v>211</v>
      </c>
      <c r="F103" s="98" t="s">
        <v>230</v>
      </c>
      <c r="G103" s="98" t="s">
        <v>391</v>
      </c>
      <c r="H103" s="98" t="s">
        <v>220</v>
      </c>
      <c r="I103" s="1" t="s">
        <v>215</v>
      </c>
      <c r="J103" s="1" t="s">
        <v>217</v>
      </c>
      <c r="K103" s="98" t="s">
        <v>216</v>
      </c>
      <c r="L103" s="99" t="s">
        <v>236</v>
      </c>
      <c r="M103" s="98" t="s">
        <v>394</v>
      </c>
      <c r="N103" s="99" t="s">
        <v>234</v>
      </c>
      <c r="O103" s="98" t="s">
        <v>395</v>
      </c>
      <c r="P103" s="99" t="s">
        <v>273</v>
      </c>
      <c r="Q103" s="98" t="s">
        <v>396</v>
      </c>
      <c r="R103" s="68" t="s">
        <v>389</v>
      </c>
      <c r="S103" s="98" t="s">
        <v>299</v>
      </c>
      <c r="T103" s="1" t="s">
        <v>296</v>
      </c>
      <c r="U103" s="1" t="s">
        <v>398</v>
      </c>
      <c r="V103" s="1" t="s">
        <v>302</v>
      </c>
      <c r="W103" s="98" t="s">
        <v>301</v>
      </c>
    </row>
    <row r="104" spans="2:23" x14ac:dyDescent="0.25">
      <c r="B104" s="460"/>
      <c r="C104" s="51" t="str">
        <f t="shared" si="2"/>
        <v>64075037</v>
      </c>
      <c r="D104" s="68" t="s">
        <v>387</v>
      </c>
      <c r="E104" s="98" t="s">
        <v>211</v>
      </c>
      <c r="F104" s="98" t="s">
        <v>230</v>
      </c>
      <c r="G104" s="98" t="s">
        <v>391</v>
      </c>
      <c r="H104" s="98" t="s">
        <v>220</v>
      </c>
      <c r="I104" s="1" t="s">
        <v>215</v>
      </c>
      <c r="J104" s="1" t="s">
        <v>217</v>
      </c>
      <c r="K104" s="98" t="s">
        <v>216</v>
      </c>
      <c r="L104" s="99" t="s">
        <v>236</v>
      </c>
      <c r="M104" s="98" t="s">
        <v>394</v>
      </c>
      <c r="N104" s="99" t="s">
        <v>234</v>
      </c>
      <c r="O104" s="98" t="s">
        <v>395</v>
      </c>
      <c r="P104" s="99" t="s">
        <v>274</v>
      </c>
      <c r="Q104" s="98" t="s">
        <v>396</v>
      </c>
      <c r="R104" s="68" t="s">
        <v>389</v>
      </c>
      <c r="S104" s="98" t="s">
        <v>299</v>
      </c>
      <c r="T104" s="1" t="s">
        <v>296</v>
      </c>
      <c r="U104" s="1" t="s">
        <v>398</v>
      </c>
      <c r="V104" s="1" t="s">
        <v>302</v>
      </c>
      <c r="W104" s="98" t="s">
        <v>301</v>
      </c>
    </row>
    <row r="105" spans="2:23" x14ac:dyDescent="0.25">
      <c r="B105" s="460"/>
      <c r="C105" s="51" t="str">
        <f t="shared" si="2"/>
        <v>64075038</v>
      </c>
      <c r="D105" s="68" t="s">
        <v>387</v>
      </c>
      <c r="E105" s="98" t="s">
        <v>211</v>
      </c>
      <c r="F105" s="98" t="s">
        <v>230</v>
      </c>
      <c r="G105" s="98" t="s">
        <v>391</v>
      </c>
      <c r="H105" s="98" t="s">
        <v>220</v>
      </c>
      <c r="I105" s="1" t="s">
        <v>215</v>
      </c>
      <c r="J105" s="1" t="s">
        <v>217</v>
      </c>
      <c r="K105" s="98" t="s">
        <v>216</v>
      </c>
      <c r="L105" s="99" t="s">
        <v>236</v>
      </c>
      <c r="M105" s="98" t="s">
        <v>394</v>
      </c>
      <c r="N105" s="99" t="s">
        <v>234</v>
      </c>
      <c r="O105" s="98" t="s">
        <v>395</v>
      </c>
      <c r="P105" s="99" t="s">
        <v>275</v>
      </c>
      <c r="Q105" s="98" t="s">
        <v>396</v>
      </c>
      <c r="R105" s="68" t="s">
        <v>389</v>
      </c>
      <c r="S105" s="98" t="s">
        <v>299</v>
      </c>
      <c r="T105" s="1" t="s">
        <v>296</v>
      </c>
      <c r="U105" s="1" t="s">
        <v>398</v>
      </c>
      <c r="V105" s="1" t="s">
        <v>302</v>
      </c>
      <c r="W105" s="98" t="s">
        <v>301</v>
      </c>
    </row>
    <row r="106" spans="2:23" x14ac:dyDescent="0.25">
      <c r="B106" s="460"/>
      <c r="C106" s="51" t="str">
        <f t="shared" si="2"/>
        <v>64075039</v>
      </c>
      <c r="D106" s="68" t="s">
        <v>387</v>
      </c>
      <c r="E106" s="98" t="s">
        <v>211</v>
      </c>
      <c r="F106" s="98" t="s">
        <v>230</v>
      </c>
      <c r="G106" s="98" t="s">
        <v>391</v>
      </c>
      <c r="H106" s="98" t="s">
        <v>220</v>
      </c>
      <c r="I106" s="1" t="s">
        <v>215</v>
      </c>
      <c r="J106" s="1" t="s">
        <v>217</v>
      </c>
      <c r="K106" s="98" t="s">
        <v>216</v>
      </c>
      <c r="L106" s="99" t="s">
        <v>236</v>
      </c>
      <c r="M106" s="98" t="s">
        <v>394</v>
      </c>
      <c r="N106" s="99" t="s">
        <v>234</v>
      </c>
      <c r="O106" s="98" t="s">
        <v>395</v>
      </c>
      <c r="P106" s="99" t="s">
        <v>276</v>
      </c>
      <c r="Q106" s="98" t="s">
        <v>396</v>
      </c>
      <c r="R106" s="68" t="s">
        <v>389</v>
      </c>
      <c r="S106" s="98" t="s">
        <v>299</v>
      </c>
      <c r="T106" s="1" t="s">
        <v>296</v>
      </c>
      <c r="U106" s="1" t="s">
        <v>398</v>
      </c>
      <c r="V106" s="1" t="s">
        <v>302</v>
      </c>
      <c r="W106" s="98" t="s">
        <v>301</v>
      </c>
    </row>
    <row r="107" spans="2:23" x14ac:dyDescent="0.25">
      <c r="B107" s="460"/>
      <c r="C107" s="51" t="str">
        <f t="shared" si="2"/>
        <v>64075040</v>
      </c>
      <c r="D107" s="68" t="s">
        <v>387</v>
      </c>
      <c r="E107" s="98" t="s">
        <v>211</v>
      </c>
      <c r="F107" s="98" t="s">
        <v>230</v>
      </c>
      <c r="G107" s="98" t="s">
        <v>391</v>
      </c>
      <c r="H107" s="98" t="s">
        <v>220</v>
      </c>
      <c r="I107" s="1" t="s">
        <v>215</v>
      </c>
      <c r="J107" s="1" t="s">
        <v>217</v>
      </c>
      <c r="K107" s="98" t="s">
        <v>216</v>
      </c>
      <c r="L107" s="99" t="s">
        <v>236</v>
      </c>
      <c r="M107" s="98" t="s">
        <v>394</v>
      </c>
      <c r="N107" s="99" t="s">
        <v>234</v>
      </c>
      <c r="O107" s="98" t="s">
        <v>395</v>
      </c>
      <c r="P107" s="99" t="s">
        <v>277</v>
      </c>
      <c r="Q107" s="98" t="s">
        <v>396</v>
      </c>
      <c r="R107" s="68" t="s">
        <v>389</v>
      </c>
      <c r="S107" s="98" t="s">
        <v>299</v>
      </c>
      <c r="T107" s="1" t="s">
        <v>296</v>
      </c>
      <c r="U107" s="1" t="s">
        <v>398</v>
      </c>
      <c r="V107" s="1" t="s">
        <v>302</v>
      </c>
      <c r="W107" s="98" t="s">
        <v>301</v>
      </c>
    </row>
    <row r="108" spans="2:23" x14ac:dyDescent="0.25">
      <c r="B108" s="460"/>
      <c r="C108" s="51" t="str">
        <f t="shared" si="2"/>
        <v>64075041</v>
      </c>
      <c r="D108" s="68" t="s">
        <v>387</v>
      </c>
      <c r="E108" s="98" t="s">
        <v>211</v>
      </c>
      <c r="F108" s="98" t="s">
        <v>230</v>
      </c>
      <c r="G108" s="98" t="s">
        <v>391</v>
      </c>
      <c r="H108" s="98" t="s">
        <v>220</v>
      </c>
      <c r="I108" s="1" t="s">
        <v>215</v>
      </c>
      <c r="J108" s="1" t="s">
        <v>217</v>
      </c>
      <c r="K108" s="98" t="s">
        <v>216</v>
      </c>
      <c r="L108" s="99" t="s">
        <v>236</v>
      </c>
      <c r="M108" s="98" t="s">
        <v>394</v>
      </c>
      <c r="N108" s="99" t="s">
        <v>234</v>
      </c>
      <c r="O108" s="98" t="s">
        <v>395</v>
      </c>
      <c r="P108" s="99" t="s">
        <v>278</v>
      </c>
      <c r="Q108" s="98" t="s">
        <v>396</v>
      </c>
      <c r="R108" s="68" t="s">
        <v>389</v>
      </c>
      <c r="S108" s="98" t="s">
        <v>299</v>
      </c>
      <c r="T108" s="1" t="s">
        <v>296</v>
      </c>
      <c r="U108" s="1" t="s">
        <v>398</v>
      </c>
      <c r="V108" s="1" t="s">
        <v>302</v>
      </c>
      <c r="W108" s="98" t="s">
        <v>301</v>
      </c>
    </row>
    <row r="109" spans="2:23" x14ac:dyDescent="0.25">
      <c r="B109" s="460"/>
      <c r="C109" s="51" t="str">
        <f t="shared" si="2"/>
        <v>64075042</v>
      </c>
      <c r="D109" s="68" t="s">
        <v>387</v>
      </c>
      <c r="E109" s="98" t="s">
        <v>211</v>
      </c>
      <c r="F109" s="98" t="s">
        <v>230</v>
      </c>
      <c r="G109" s="98" t="s">
        <v>391</v>
      </c>
      <c r="H109" s="98" t="s">
        <v>220</v>
      </c>
      <c r="I109" s="1" t="s">
        <v>215</v>
      </c>
      <c r="J109" s="1" t="s">
        <v>217</v>
      </c>
      <c r="K109" s="98" t="s">
        <v>216</v>
      </c>
      <c r="L109" s="99" t="s">
        <v>236</v>
      </c>
      <c r="M109" s="98" t="s">
        <v>394</v>
      </c>
      <c r="N109" s="99" t="s">
        <v>234</v>
      </c>
      <c r="O109" s="98" t="s">
        <v>395</v>
      </c>
      <c r="P109" s="99" t="s">
        <v>279</v>
      </c>
      <c r="Q109" s="98" t="s">
        <v>396</v>
      </c>
      <c r="R109" s="68" t="s">
        <v>389</v>
      </c>
      <c r="S109" s="98" t="s">
        <v>299</v>
      </c>
      <c r="T109" s="1" t="s">
        <v>296</v>
      </c>
      <c r="U109" s="1" t="s">
        <v>398</v>
      </c>
      <c r="V109" s="1" t="s">
        <v>302</v>
      </c>
      <c r="W109" s="98" t="s">
        <v>301</v>
      </c>
    </row>
    <row r="110" spans="2:23" x14ac:dyDescent="0.25">
      <c r="B110" s="460"/>
      <c r="C110" s="51" t="str">
        <f t="shared" si="2"/>
        <v>64075043</v>
      </c>
      <c r="D110" s="68" t="s">
        <v>387</v>
      </c>
      <c r="E110" s="98" t="s">
        <v>211</v>
      </c>
      <c r="F110" s="98" t="s">
        <v>230</v>
      </c>
      <c r="G110" s="98" t="s">
        <v>391</v>
      </c>
      <c r="H110" s="98" t="s">
        <v>220</v>
      </c>
      <c r="I110" s="1" t="s">
        <v>215</v>
      </c>
      <c r="J110" s="1" t="s">
        <v>217</v>
      </c>
      <c r="K110" s="98" t="s">
        <v>216</v>
      </c>
      <c r="L110" s="99" t="s">
        <v>236</v>
      </c>
      <c r="M110" s="98" t="s">
        <v>394</v>
      </c>
      <c r="N110" s="99" t="s">
        <v>234</v>
      </c>
      <c r="O110" s="98" t="s">
        <v>395</v>
      </c>
      <c r="P110" s="99" t="s">
        <v>280</v>
      </c>
      <c r="Q110" s="98" t="s">
        <v>396</v>
      </c>
      <c r="R110" s="68" t="s">
        <v>389</v>
      </c>
      <c r="S110" s="98" t="s">
        <v>299</v>
      </c>
      <c r="T110" s="1" t="s">
        <v>296</v>
      </c>
      <c r="U110" s="1" t="s">
        <v>398</v>
      </c>
      <c r="V110" s="1" t="s">
        <v>302</v>
      </c>
      <c r="W110" s="98" t="s">
        <v>301</v>
      </c>
    </row>
    <row r="111" spans="2:23" x14ac:dyDescent="0.25">
      <c r="B111" s="460"/>
      <c r="C111" s="51" t="str">
        <f t="shared" si="2"/>
        <v>64075044</v>
      </c>
      <c r="D111" s="68" t="s">
        <v>387</v>
      </c>
      <c r="E111" s="98" t="s">
        <v>211</v>
      </c>
      <c r="F111" s="98" t="s">
        <v>230</v>
      </c>
      <c r="G111" s="98" t="s">
        <v>391</v>
      </c>
      <c r="H111" s="98" t="s">
        <v>220</v>
      </c>
      <c r="I111" s="1" t="s">
        <v>215</v>
      </c>
      <c r="J111" s="1" t="s">
        <v>217</v>
      </c>
      <c r="K111" s="98" t="s">
        <v>216</v>
      </c>
      <c r="L111" s="99" t="s">
        <v>236</v>
      </c>
      <c r="M111" s="98" t="s">
        <v>394</v>
      </c>
      <c r="N111" s="99" t="s">
        <v>234</v>
      </c>
      <c r="O111" s="98" t="s">
        <v>395</v>
      </c>
      <c r="P111" s="99" t="s">
        <v>281</v>
      </c>
      <c r="Q111" s="98" t="s">
        <v>396</v>
      </c>
      <c r="R111" s="68" t="s">
        <v>389</v>
      </c>
      <c r="S111" s="98" t="s">
        <v>299</v>
      </c>
      <c r="T111" s="1" t="s">
        <v>296</v>
      </c>
      <c r="U111" s="1" t="s">
        <v>398</v>
      </c>
      <c r="V111" s="1" t="s">
        <v>302</v>
      </c>
      <c r="W111" s="98" t="s">
        <v>301</v>
      </c>
    </row>
    <row r="112" spans="2:23" x14ac:dyDescent="0.25">
      <c r="B112" s="460"/>
      <c r="C112" s="51" t="str">
        <f t="shared" si="2"/>
        <v>64075045</v>
      </c>
      <c r="D112" s="68" t="s">
        <v>387</v>
      </c>
      <c r="E112" s="98" t="s">
        <v>211</v>
      </c>
      <c r="F112" s="98" t="s">
        <v>230</v>
      </c>
      <c r="G112" s="98" t="s">
        <v>391</v>
      </c>
      <c r="H112" s="98" t="s">
        <v>220</v>
      </c>
      <c r="I112" s="1" t="s">
        <v>215</v>
      </c>
      <c r="J112" s="1" t="s">
        <v>217</v>
      </c>
      <c r="K112" s="98" t="s">
        <v>216</v>
      </c>
      <c r="L112" s="99" t="s">
        <v>236</v>
      </c>
      <c r="M112" s="98" t="s">
        <v>394</v>
      </c>
      <c r="N112" s="99" t="s">
        <v>234</v>
      </c>
      <c r="O112" s="98" t="s">
        <v>395</v>
      </c>
      <c r="P112" s="99" t="s">
        <v>282</v>
      </c>
      <c r="Q112" s="98" t="s">
        <v>396</v>
      </c>
      <c r="R112" s="68" t="s">
        <v>389</v>
      </c>
      <c r="S112" s="98" t="s">
        <v>299</v>
      </c>
      <c r="T112" s="1" t="s">
        <v>296</v>
      </c>
      <c r="U112" s="1" t="s">
        <v>398</v>
      </c>
      <c r="V112" s="1" t="s">
        <v>302</v>
      </c>
      <c r="W112" s="98" t="s">
        <v>301</v>
      </c>
    </row>
    <row r="113" spans="2:23" x14ac:dyDescent="0.25">
      <c r="B113" s="460"/>
      <c r="C113" s="51" t="str">
        <f t="shared" si="2"/>
        <v>64075046</v>
      </c>
      <c r="D113" s="68" t="s">
        <v>387</v>
      </c>
      <c r="E113" s="98" t="s">
        <v>211</v>
      </c>
      <c r="F113" s="98" t="s">
        <v>230</v>
      </c>
      <c r="G113" s="98" t="s">
        <v>391</v>
      </c>
      <c r="H113" s="98" t="s">
        <v>220</v>
      </c>
      <c r="I113" s="1" t="s">
        <v>215</v>
      </c>
      <c r="J113" s="1" t="s">
        <v>217</v>
      </c>
      <c r="K113" s="98" t="s">
        <v>216</v>
      </c>
      <c r="L113" s="99" t="s">
        <v>236</v>
      </c>
      <c r="M113" s="98" t="s">
        <v>394</v>
      </c>
      <c r="N113" s="99" t="s">
        <v>234</v>
      </c>
      <c r="O113" s="98" t="s">
        <v>395</v>
      </c>
      <c r="P113" s="99" t="s">
        <v>283</v>
      </c>
      <c r="Q113" s="98" t="s">
        <v>396</v>
      </c>
      <c r="R113" s="68" t="s">
        <v>389</v>
      </c>
      <c r="S113" s="98" t="s">
        <v>299</v>
      </c>
      <c r="T113" s="1" t="s">
        <v>296</v>
      </c>
      <c r="U113" s="1" t="s">
        <v>398</v>
      </c>
      <c r="V113" s="1" t="s">
        <v>302</v>
      </c>
      <c r="W113" s="98" t="s">
        <v>301</v>
      </c>
    </row>
    <row r="114" spans="2:23" x14ac:dyDescent="0.25">
      <c r="B114" s="460"/>
      <c r="C114" s="51" t="str">
        <f t="shared" si="2"/>
        <v>64075047</v>
      </c>
      <c r="D114" s="68" t="s">
        <v>387</v>
      </c>
      <c r="E114" s="98" t="s">
        <v>211</v>
      </c>
      <c r="F114" s="98" t="s">
        <v>230</v>
      </c>
      <c r="G114" s="98" t="s">
        <v>391</v>
      </c>
      <c r="H114" s="98" t="s">
        <v>220</v>
      </c>
      <c r="I114" s="1" t="s">
        <v>215</v>
      </c>
      <c r="J114" s="1" t="s">
        <v>217</v>
      </c>
      <c r="K114" s="98" t="s">
        <v>216</v>
      </c>
      <c r="L114" s="99" t="s">
        <v>236</v>
      </c>
      <c r="M114" s="98" t="s">
        <v>394</v>
      </c>
      <c r="N114" s="99" t="s">
        <v>234</v>
      </c>
      <c r="O114" s="98" t="s">
        <v>395</v>
      </c>
      <c r="P114" s="99" t="s">
        <v>284</v>
      </c>
      <c r="Q114" s="98" t="s">
        <v>396</v>
      </c>
      <c r="R114" s="68" t="s">
        <v>389</v>
      </c>
      <c r="S114" s="98" t="s">
        <v>299</v>
      </c>
      <c r="T114" s="1" t="s">
        <v>296</v>
      </c>
      <c r="U114" s="1" t="s">
        <v>398</v>
      </c>
      <c r="V114" s="1" t="s">
        <v>302</v>
      </c>
      <c r="W114" s="98" t="s">
        <v>301</v>
      </c>
    </row>
    <row r="115" spans="2:23" x14ac:dyDescent="0.25">
      <c r="B115" s="460"/>
      <c r="C115" s="51" t="str">
        <f t="shared" si="2"/>
        <v>64075048</v>
      </c>
      <c r="D115" s="68" t="s">
        <v>387</v>
      </c>
      <c r="E115" s="98" t="s">
        <v>211</v>
      </c>
      <c r="F115" s="98" t="s">
        <v>230</v>
      </c>
      <c r="G115" s="98" t="s">
        <v>391</v>
      </c>
      <c r="H115" s="98" t="s">
        <v>220</v>
      </c>
      <c r="I115" s="1" t="s">
        <v>215</v>
      </c>
      <c r="J115" s="1" t="s">
        <v>217</v>
      </c>
      <c r="K115" s="98" t="s">
        <v>216</v>
      </c>
      <c r="L115" s="99" t="s">
        <v>236</v>
      </c>
      <c r="M115" s="98" t="s">
        <v>394</v>
      </c>
      <c r="N115" s="99" t="s">
        <v>234</v>
      </c>
      <c r="O115" s="98" t="s">
        <v>395</v>
      </c>
      <c r="P115" s="99" t="s">
        <v>285</v>
      </c>
      <c r="Q115" s="98" t="s">
        <v>396</v>
      </c>
      <c r="R115" s="68" t="s">
        <v>389</v>
      </c>
      <c r="S115" s="98" t="s">
        <v>299</v>
      </c>
      <c r="T115" s="1" t="s">
        <v>296</v>
      </c>
      <c r="U115" s="1" t="s">
        <v>398</v>
      </c>
      <c r="V115" s="1" t="s">
        <v>302</v>
      </c>
      <c r="W115" s="98" t="s">
        <v>301</v>
      </c>
    </row>
    <row r="116" spans="2:23" x14ac:dyDescent="0.25">
      <c r="B116" s="460"/>
      <c r="C116" s="51" t="str">
        <f t="shared" si="2"/>
        <v>64075049</v>
      </c>
      <c r="D116" s="68" t="s">
        <v>387</v>
      </c>
      <c r="E116" s="98" t="s">
        <v>211</v>
      </c>
      <c r="F116" s="98" t="s">
        <v>230</v>
      </c>
      <c r="G116" s="98" t="s">
        <v>391</v>
      </c>
      <c r="H116" s="98" t="s">
        <v>220</v>
      </c>
      <c r="I116" s="1" t="s">
        <v>215</v>
      </c>
      <c r="J116" s="1" t="s">
        <v>217</v>
      </c>
      <c r="K116" s="98" t="s">
        <v>216</v>
      </c>
      <c r="L116" s="99" t="s">
        <v>236</v>
      </c>
      <c r="M116" s="98" t="s">
        <v>394</v>
      </c>
      <c r="N116" s="99" t="s">
        <v>234</v>
      </c>
      <c r="O116" s="98" t="s">
        <v>395</v>
      </c>
      <c r="P116" s="99" t="s">
        <v>286</v>
      </c>
      <c r="Q116" s="98" t="s">
        <v>396</v>
      </c>
      <c r="R116" s="68" t="s">
        <v>389</v>
      </c>
      <c r="S116" s="98" t="s">
        <v>299</v>
      </c>
      <c r="T116" s="1" t="s">
        <v>296</v>
      </c>
      <c r="U116" s="1" t="s">
        <v>398</v>
      </c>
      <c r="V116" s="1" t="s">
        <v>302</v>
      </c>
      <c r="W116" s="98" t="s">
        <v>301</v>
      </c>
    </row>
    <row r="117" spans="2:23" x14ac:dyDescent="0.25">
      <c r="B117" s="460"/>
      <c r="C117" s="51" t="str">
        <f t="shared" si="2"/>
        <v>64075050</v>
      </c>
      <c r="D117" s="68" t="s">
        <v>387</v>
      </c>
      <c r="E117" s="98" t="s">
        <v>211</v>
      </c>
      <c r="F117" s="98" t="s">
        <v>230</v>
      </c>
      <c r="G117" s="98" t="s">
        <v>391</v>
      </c>
      <c r="H117" s="98" t="s">
        <v>220</v>
      </c>
      <c r="I117" s="1" t="s">
        <v>215</v>
      </c>
      <c r="J117" s="1" t="s">
        <v>217</v>
      </c>
      <c r="K117" s="98" t="s">
        <v>216</v>
      </c>
      <c r="L117" s="99" t="s">
        <v>236</v>
      </c>
      <c r="M117" s="98" t="s">
        <v>394</v>
      </c>
      <c r="N117" s="99" t="s">
        <v>234</v>
      </c>
      <c r="O117" s="98" t="s">
        <v>395</v>
      </c>
      <c r="P117" s="99" t="s">
        <v>287</v>
      </c>
      <c r="Q117" s="98" t="s">
        <v>396</v>
      </c>
      <c r="R117" s="68" t="s">
        <v>389</v>
      </c>
      <c r="S117" s="98" t="s">
        <v>299</v>
      </c>
      <c r="T117" s="1" t="s">
        <v>296</v>
      </c>
      <c r="U117" s="1" t="s">
        <v>398</v>
      </c>
      <c r="V117" s="1" t="s">
        <v>302</v>
      </c>
      <c r="W117" s="98" t="s">
        <v>301</v>
      </c>
    </row>
    <row r="118" spans="2:23" x14ac:dyDescent="0.25">
      <c r="B118" s="460"/>
      <c r="C118" s="106" t="str">
        <f>E31</f>
        <v>64075051</v>
      </c>
      <c r="D118" s="68" t="s">
        <v>387</v>
      </c>
      <c r="E118" s="98" t="s">
        <v>211</v>
      </c>
      <c r="F118" s="98" t="s">
        <v>230</v>
      </c>
      <c r="G118" s="98" t="s">
        <v>391</v>
      </c>
      <c r="H118" s="98" t="s">
        <v>220</v>
      </c>
      <c r="I118" s="1" t="s">
        <v>215</v>
      </c>
      <c r="J118" s="1" t="s">
        <v>217</v>
      </c>
      <c r="K118" s="98" t="s">
        <v>216</v>
      </c>
      <c r="L118" s="99" t="s">
        <v>236</v>
      </c>
      <c r="M118" s="98" t="s">
        <v>394</v>
      </c>
      <c r="N118" s="99" t="s">
        <v>234</v>
      </c>
      <c r="O118" s="98" t="s">
        <v>395</v>
      </c>
      <c r="P118" s="99" t="s">
        <v>287</v>
      </c>
      <c r="Q118" s="98" t="s">
        <v>396</v>
      </c>
      <c r="R118" s="68" t="s">
        <v>389</v>
      </c>
      <c r="S118" s="98" t="s">
        <v>299</v>
      </c>
      <c r="T118" s="1" t="s">
        <v>296</v>
      </c>
      <c r="U118" s="1" t="s">
        <v>398</v>
      </c>
      <c r="V118" s="1" t="s">
        <v>302</v>
      </c>
      <c r="W118" s="98" t="s">
        <v>301</v>
      </c>
    </row>
    <row r="119" spans="2:23" s="57" customFormat="1" ht="13.8" thickBot="1" x14ac:dyDescent="0.3">
      <c r="B119" s="461"/>
      <c r="C119" s="51" t="str">
        <f>E32</f>
        <v>64075052</v>
      </c>
      <c r="D119" s="68" t="s">
        <v>387</v>
      </c>
      <c r="E119" s="98" t="s">
        <v>211</v>
      </c>
      <c r="F119" s="98" t="s">
        <v>230</v>
      </c>
      <c r="G119" s="98" t="s">
        <v>391</v>
      </c>
      <c r="H119" s="98" t="s">
        <v>220</v>
      </c>
      <c r="I119" s="1" t="s">
        <v>215</v>
      </c>
      <c r="J119" s="1" t="s">
        <v>217</v>
      </c>
      <c r="K119" s="98" t="s">
        <v>216</v>
      </c>
      <c r="L119" s="99" t="s">
        <v>236</v>
      </c>
      <c r="M119" s="98" t="s">
        <v>394</v>
      </c>
      <c r="N119" s="99" t="s">
        <v>234</v>
      </c>
      <c r="O119" s="98" t="s">
        <v>395</v>
      </c>
      <c r="P119" s="99" t="s">
        <v>287</v>
      </c>
      <c r="Q119" s="98" t="s">
        <v>396</v>
      </c>
      <c r="R119" s="68" t="s">
        <v>389</v>
      </c>
      <c r="S119" s="98" t="s">
        <v>299</v>
      </c>
      <c r="T119" s="1" t="s">
        <v>296</v>
      </c>
      <c r="U119" s="1" t="s">
        <v>398</v>
      </c>
      <c r="V119" s="1" t="s">
        <v>302</v>
      </c>
      <c r="W119" s="98" t="s">
        <v>301</v>
      </c>
    </row>
    <row r="120" spans="2:23" x14ac:dyDescent="0.25">
      <c r="B120" s="462" t="s">
        <v>390</v>
      </c>
      <c r="C120" s="102" t="str">
        <f t="shared" ref="C120:C147" si="3">F5</f>
        <v>00025</v>
      </c>
      <c r="D120" s="1" t="s">
        <v>218</v>
      </c>
      <c r="E120" s="61"/>
      <c r="F120" s="61"/>
      <c r="G120" s="61"/>
      <c r="H120" s="61"/>
      <c r="I120" s="61"/>
      <c r="J120" s="61"/>
      <c r="K120" s="61"/>
      <c r="L120" s="1" t="s">
        <v>291</v>
      </c>
      <c r="M120" s="65"/>
      <c r="N120" s="1" t="s">
        <v>292</v>
      </c>
      <c r="O120" s="65"/>
      <c r="P120" s="1" t="s">
        <v>294</v>
      </c>
      <c r="Q120" s="65"/>
      <c r="R120" s="58" t="s">
        <v>295</v>
      </c>
      <c r="S120" s="61"/>
      <c r="T120" s="61"/>
      <c r="U120" s="61"/>
      <c r="V120" s="61"/>
      <c r="W120" s="61"/>
    </row>
    <row r="121" spans="2:23" x14ac:dyDescent="0.25">
      <c r="B121" s="460"/>
      <c r="C121" s="102" t="str">
        <f t="shared" si="3"/>
        <v>00026</v>
      </c>
      <c r="D121" s="1" t="s">
        <v>218</v>
      </c>
      <c r="E121" s="61"/>
      <c r="F121" s="61"/>
      <c r="G121" s="61"/>
      <c r="H121" s="61"/>
      <c r="I121" s="61"/>
      <c r="J121" s="61"/>
      <c r="K121" s="61"/>
      <c r="L121" s="1" t="s">
        <v>291</v>
      </c>
      <c r="M121" s="65"/>
      <c r="N121" s="1" t="s">
        <v>292</v>
      </c>
      <c r="O121" s="61"/>
      <c r="P121" s="1" t="s">
        <v>294</v>
      </c>
      <c r="Q121" s="61"/>
      <c r="R121" s="58" t="s">
        <v>295</v>
      </c>
      <c r="S121" s="61"/>
      <c r="T121" s="61"/>
      <c r="U121" s="61"/>
      <c r="V121" s="61"/>
      <c r="W121" s="61"/>
    </row>
    <row r="122" spans="2:23" x14ac:dyDescent="0.25">
      <c r="B122" s="460"/>
      <c r="C122" s="102" t="str">
        <f t="shared" si="3"/>
        <v>00027</v>
      </c>
      <c r="D122" s="1" t="s">
        <v>218</v>
      </c>
      <c r="E122" s="61"/>
      <c r="F122" s="61"/>
      <c r="G122" s="61"/>
      <c r="H122" s="61"/>
      <c r="I122" s="61"/>
      <c r="J122" s="61"/>
      <c r="K122" s="61"/>
      <c r="L122" s="1" t="s">
        <v>291</v>
      </c>
      <c r="M122" s="65"/>
      <c r="N122" s="1" t="s">
        <v>292</v>
      </c>
      <c r="O122" s="61"/>
      <c r="P122" s="1" t="s">
        <v>294</v>
      </c>
      <c r="Q122" s="61"/>
      <c r="R122" s="58" t="s">
        <v>295</v>
      </c>
      <c r="S122" s="61"/>
      <c r="T122" s="61"/>
      <c r="U122" s="61"/>
      <c r="V122" s="61"/>
      <c r="W122" s="61"/>
    </row>
    <row r="123" spans="2:23" x14ac:dyDescent="0.25">
      <c r="B123" s="460"/>
      <c r="C123" s="102" t="str">
        <f t="shared" si="3"/>
        <v>00028</v>
      </c>
      <c r="D123" s="1" t="s">
        <v>218</v>
      </c>
      <c r="E123" s="61"/>
      <c r="F123" s="61"/>
      <c r="G123" s="61"/>
      <c r="H123" s="61"/>
      <c r="I123" s="61"/>
      <c r="J123" s="61"/>
      <c r="K123" s="61"/>
      <c r="L123" s="1" t="s">
        <v>291</v>
      </c>
      <c r="M123" s="65"/>
      <c r="N123" s="1" t="s">
        <v>292</v>
      </c>
      <c r="O123" s="61"/>
      <c r="P123" s="1" t="s">
        <v>294</v>
      </c>
      <c r="Q123" s="61"/>
      <c r="R123" s="58" t="s">
        <v>295</v>
      </c>
      <c r="S123" s="61"/>
      <c r="T123" s="61"/>
      <c r="U123" s="61"/>
      <c r="V123" s="61"/>
      <c r="W123" s="61"/>
    </row>
    <row r="124" spans="2:23" x14ac:dyDescent="0.25">
      <c r="B124" s="460"/>
      <c r="C124" s="102" t="str">
        <f t="shared" si="3"/>
        <v>00029</v>
      </c>
      <c r="D124" s="1" t="s">
        <v>218</v>
      </c>
      <c r="E124" s="61"/>
      <c r="F124" s="61"/>
      <c r="G124" s="61"/>
      <c r="H124" s="61"/>
      <c r="I124" s="61"/>
      <c r="J124" s="61"/>
      <c r="K124" s="61"/>
      <c r="L124" s="1" t="s">
        <v>291</v>
      </c>
      <c r="M124" s="65"/>
      <c r="N124" s="1" t="s">
        <v>292</v>
      </c>
      <c r="O124" s="61"/>
      <c r="P124" s="1" t="s">
        <v>294</v>
      </c>
      <c r="Q124" s="61"/>
      <c r="R124" s="58" t="s">
        <v>295</v>
      </c>
      <c r="S124" s="61"/>
      <c r="T124" s="61"/>
      <c r="U124" s="61"/>
      <c r="V124" s="61"/>
      <c r="W124" s="61"/>
    </row>
    <row r="125" spans="2:23" x14ac:dyDescent="0.25">
      <c r="B125" s="460"/>
      <c r="C125" s="102" t="str">
        <f t="shared" si="3"/>
        <v>00030</v>
      </c>
      <c r="D125" s="1" t="s">
        <v>218</v>
      </c>
      <c r="E125" s="61"/>
      <c r="F125" s="61"/>
      <c r="G125" s="61"/>
      <c r="H125" s="61"/>
      <c r="I125" s="61"/>
      <c r="J125" s="61"/>
      <c r="K125" s="61"/>
      <c r="L125" s="1" t="s">
        <v>291</v>
      </c>
      <c r="M125" s="65"/>
      <c r="N125" s="1" t="s">
        <v>292</v>
      </c>
      <c r="O125" s="61"/>
      <c r="P125" s="1" t="s">
        <v>294</v>
      </c>
      <c r="Q125" s="61"/>
      <c r="R125" s="58" t="s">
        <v>295</v>
      </c>
      <c r="S125" s="61"/>
      <c r="T125" s="61"/>
      <c r="U125" s="61"/>
      <c r="V125" s="61"/>
      <c r="W125" s="61"/>
    </row>
    <row r="126" spans="2:23" x14ac:dyDescent="0.25">
      <c r="B126" s="460"/>
      <c r="C126" s="102" t="str">
        <f t="shared" si="3"/>
        <v>00031</v>
      </c>
      <c r="D126" s="1" t="s">
        <v>218</v>
      </c>
      <c r="E126" s="61"/>
      <c r="F126" s="61"/>
      <c r="G126" s="61"/>
      <c r="H126" s="61"/>
      <c r="I126" s="61"/>
      <c r="J126" s="61"/>
      <c r="K126" s="61"/>
      <c r="L126" s="1" t="s">
        <v>291</v>
      </c>
      <c r="M126" s="65"/>
      <c r="N126" s="1" t="s">
        <v>292</v>
      </c>
      <c r="O126" s="61"/>
      <c r="P126" s="1" t="s">
        <v>294</v>
      </c>
      <c r="Q126" s="61"/>
      <c r="R126" s="58" t="s">
        <v>295</v>
      </c>
      <c r="S126" s="61"/>
      <c r="T126" s="61"/>
      <c r="U126" s="61"/>
      <c r="V126" s="61"/>
      <c r="W126" s="61"/>
    </row>
    <row r="127" spans="2:23" x14ac:dyDescent="0.25">
      <c r="B127" s="460"/>
      <c r="C127" s="102" t="str">
        <f t="shared" si="3"/>
        <v>00032</v>
      </c>
      <c r="D127" s="1" t="s">
        <v>218</v>
      </c>
      <c r="E127" s="61"/>
      <c r="F127" s="61"/>
      <c r="G127" s="61"/>
      <c r="H127" s="61"/>
      <c r="I127" s="61"/>
      <c r="J127" s="61"/>
      <c r="K127" s="61"/>
      <c r="L127" s="1" t="s">
        <v>291</v>
      </c>
      <c r="M127" s="65"/>
      <c r="N127" s="1" t="s">
        <v>292</v>
      </c>
      <c r="O127" s="61"/>
      <c r="P127" s="1" t="s">
        <v>294</v>
      </c>
      <c r="Q127" s="61"/>
      <c r="R127" s="58" t="s">
        <v>295</v>
      </c>
      <c r="S127" s="61"/>
      <c r="T127" s="61"/>
      <c r="U127" s="61"/>
      <c r="V127" s="61"/>
      <c r="W127" s="61"/>
    </row>
    <row r="128" spans="2:23" x14ac:dyDescent="0.25">
      <c r="B128" s="460"/>
      <c r="C128" s="102" t="str">
        <f t="shared" si="3"/>
        <v>00033</v>
      </c>
      <c r="D128" s="1" t="s">
        <v>218</v>
      </c>
      <c r="E128" s="61"/>
      <c r="F128" s="61"/>
      <c r="G128" s="61"/>
      <c r="H128" s="61"/>
      <c r="I128" s="61"/>
      <c r="J128" s="61"/>
      <c r="K128" s="61"/>
      <c r="L128" s="1" t="s">
        <v>291</v>
      </c>
      <c r="M128" s="65"/>
      <c r="N128" s="1" t="s">
        <v>292</v>
      </c>
      <c r="O128" s="61"/>
      <c r="P128" s="1" t="s">
        <v>294</v>
      </c>
      <c r="Q128" s="61"/>
      <c r="R128" s="58" t="s">
        <v>295</v>
      </c>
      <c r="S128" s="61"/>
      <c r="T128" s="61"/>
      <c r="U128" s="61"/>
      <c r="V128" s="61"/>
      <c r="W128" s="61"/>
    </row>
    <row r="129" spans="2:23" x14ac:dyDescent="0.25">
      <c r="B129" s="460"/>
      <c r="C129" s="102" t="str">
        <f t="shared" si="3"/>
        <v>00034</v>
      </c>
      <c r="D129" s="1" t="s">
        <v>218</v>
      </c>
      <c r="E129" s="61"/>
      <c r="F129" s="61"/>
      <c r="G129" s="61"/>
      <c r="H129" s="61"/>
      <c r="I129" s="61"/>
      <c r="J129" s="61"/>
      <c r="K129" s="61"/>
      <c r="L129" s="1" t="s">
        <v>291</v>
      </c>
      <c r="M129" s="65"/>
      <c r="N129" s="1" t="s">
        <v>292</v>
      </c>
      <c r="O129" s="61"/>
      <c r="P129" s="1" t="s">
        <v>294</v>
      </c>
      <c r="Q129" s="61"/>
      <c r="R129" s="58" t="s">
        <v>295</v>
      </c>
      <c r="S129" s="61"/>
      <c r="T129" s="61"/>
      <c r="U129" s="61"/>
      <c r="V129" s="61"/>
      <c r="W129" s="61"/>
    </row>
    <row r="130" spans="2:23" x14ac:dyDescent="0.25">
      <c r="B130" s="460"/>
      <c r="C130" s="102" t="str">
        <f t="shared" si="3"/>
        <v>00035</v>
      </c>
      <c r="D130" s="1" t="s">
        <v>218</v>
      </c>
      <c r="E130" s="61"/>
      <c r="F130" s="61"/>
      <c r="G130" s="61"/>
      <c r="H130" s="61"/>
      <c r="I130" s="61"/>
      <c r="J130" s="61"/>
      <c r="K130" s="61"/>
      <c r="L130" s="1" t="s">
        <v>291</v>
      </c>
      <c r="M130" s="65"/>
      <c r="N130" s="1" t="s">
        <v>292</v>
      </c>
      <c r="O130" s="61"/>
      <c r="P130" s="1" t="s">
        <v>294</v>
      </c>
      <c r="Q130" s="61"/>
      <c r="R130" s="58" t="s">
        <v>295</v>
      </c>
      <c r="S130" s="61"/>
      <c r="T130" s="61"/>
      <c r="U130" s="61"/>
      <c r="V130" s="61"/>
      <c r="W130" s="61"/>
    </row>
    <row r="131" spans="2:23" x14ac:dyDescent="0.25">
      <c r="B131" s="460"/>
      <c r="C131" s="102" t="str">
        <f t="shared" si="3"/>
        <v>00036</v>
      </c>
      <c r="D131" s="1" t="s">
        <v>218</v>
      </c>
      <c r="E131" s="61"/>
      <c r="F131" s="61"/>
      <c r="G131" s="61"/>
      <c r="H131" s="61"/>
      <c r="I131" s="61"/>
      <c r="J131" s="61"/>
      <c r="K131" s="61"/>
      <c r="L131" s="1" t="s">
        <v>291</v>
      </c>
      <c r="M131" s="65"/>
      <c r="N131" s="1" t="s">
        <v>292</v>
      </c>
      <c r="O131" s="61"/>
      <c r="P131" s="1" t="s">
        <v>294</v>
      </c>
      <c r="Q131" s="61"/>
      <c r="R131" s="58" t="s">
        <v>295</v>
      </c>
      <c r="S131" s="61"/>
      <c r="T131" s="61"/>
      <c r="U131" s="61"/>
      <c r="V131" s="61"/>
      <c r="W131" s="61"/>
    </row>
    <row r="132" spans="2:23" x14ac:dyDescent="0.25">
      <c r="B132" s="460"/>
      <c r="C132" s="102" t="str">
        <f t="shared" si="3"/>
        <v>00037</v>
      </c>
      <c r="D132" s="1" t="s">
        <v>218</v>
      </c>
      <c r="E132" s="61"/>
      <c r="F132" s="61"/>
      <c r="G132" s="61"/>
      <c r="H132" s="61"/>
      <c r="I132" s="61"/>
      <c r="J132" s="61"/>
      <c r="K132" s="61"/>
      <c r="L132" s="1" t="s">
        <v>291</v>
      </c>
      <c r="M132" s="65"/>
      <c r="N132" s="1" t="s">
        <v>292</v>
      </c>
      <c r="O132" s="61"/>
      <c r="P132" s="1" t="s">
        <v>294</v>
      </c>
      <c r="Q132" s="61"/>
      <c r="R132" s="58" t="s">
        <v>295</v>
      </c>
      <c r="S132" s="61"/>
      <c r="T132" s="61"/>
      <c r="U132" s="61"/>
      <c r="V132" s="61"/>
      <c r="W132" s="61"/>
    </row>
    <row r="133" spans="2:23" x14ac:dyDescent="0.25">
      <c r="B133" s="460"/>
      <c r="C133" s="102" t="str">
        <f t="shared" si="3"/>
        <v>00038</v>
      </c>
      <c r="D133" s="1" t="s">
        <v>218</v>
      </c>
      <c r="E133" s="61"/>
      <c r="F133" s="61"/>
      <c r="G133" s="61"/>
      <c r="H133" s="61"/>
      <c r="I133" s="61"/>
      <c r="J133" s="61"/>
      <c r="K133" s="61"/>
      <c r="L133" s="1" t="s">
        <v>291</v>
      </c>
      <c r="M133" s="65"/>
      <c r="N133" s="1" t="s">
        <v>292</v>
      </c>
      <c r="O133" s="61"/>
      <c r="P133" s="1" t="s">
        <v>294</v>
      </c>
      <c r="Q133" s="61"/>
      <c r="R133" s="58" t="s">
        <v>295</v>
      </c>
      <c r="S133" s="61"/>
      <c r="T133" s="61"/>
      <c r="U133" s="61"/>
      <c r="V133" s="61"/>
      <c r="W133" s="61"/>
    </row>
    <row r="134" spans="2:23" x14ac:dyDescent="0.25">
      <c r="B134" s="460"/>
      <c r="C134" s="102" t="str">
        <f t="shared" si="3"/>
        <v>00039</v>
      </c>
      <c r="D134" s="1" t="s">
        <v>218</v>
      </c>
      <c r="E134" s="61"/>
      <c r="F134" s="61"/>
      <c r="G134" s="61"/>
      <c r="H134" s="61"/>
      <c r="I134" s="61"/>
      <c r="J134" s="61"/>
      <c r="K134" s="61"/>
      <c r="L134" s="1" t="s">
        <v>291</v>
      </c>
      <c r="M134" s="65"/>
      <c r="N134" s="1" t="s">
        <v>292</v>
      </c>
      <c r="O134" s="61"/>
      <c r="P134" s="1" t="s">
        <v>294</v>
      </c>
      <c r="Q134" s="61"/>
      <c r="R134" s="58" t="s">
        <v>295</v>
      </c>
      <c r="S134" s="61"/>
      <c r="T134" s="61"/>
      <c r="U134" s="61"/>
      <c r="V134" s="61"/>
      <c r="W134" s="61"/>
    </row>
    <row r="135" spans="2:23" x14ac:dyDescent="0.25">
      <c r="B135" s="460"/>
      <c r="C135" s="102" t="str">
        <f t="shared" si="3"/>
        <v>00040</v>
      </c>
      <c r="D135" s="1" t="s">
        <v>218</v>
      </c>
      <c r="E135" s="61"/>
      <c r="F135" s="61"/>
      <c r="G135" s="61"/>
      <c r="H135" s="61"/>
      <c r="I135" s="61"/>
      <c r="J135" s="61"/>
      <c r="K135" s="61"/>
      <c r="L135" s="1" t="s">
        <v>291</v>
      </c>
      <c r="M135" s="65"/>
      <c r="N135" s="1" t="s">
        <v>292</v>
      </c>
      <c r="O135" s="61"/>
      <c r="P135" s="1" t="s">
        <v>294</v>
      </c>
      <c r="Q135" s="61"/>
      <c r="R135" s="58" t="s">
        <v>295</v>
      </c>
      <c r="S135" s="61"/>
      <c r="T135" s="61"/>
      <c r="U135" s="61"/>
      <c r="V135" s="61"/>
      <c r="W135" s="61"/>
    </row>
    <row r="136" spans="2:23" x14ac:dyDescent="0.25">
      <c r="B136" s="460"/>
      <c r="C136" s="102" t="str">
        <f t="shared" si="3"/>
        <v>00041</v>
      </c>
      <c r="D136" s="1" t="s">
        <v>218</v>
      </c>
      <c r="E136" s="61"/>
      <c r="F136" s="61"/>
      <c r="G136" s="61"/>
      <c r="H136" s="61"/>
      <c r="I136" s="61"/>
      <c r="J136" s="61"/>
      <c r="K136" s="61"/>
      <c r="L136" s="1" t="s">
        <v>291</v>
      </c>
      <c r="M136" s="65"/>
      <c r="N136" s="1" t="s">
        <v>292</v>
      </c>
      <c r="O136" s="61"/>
      <c r="P136" s="1" t="s">
        <v>294</v>
      </c>
      <c r="Q136" s="61"/>
      <c r="R136" s="58" t="s">
        <v>295</v>
      </c>
      <c r="S136" s="61"/>
      <c r="T136" s="61"/>
      <c r="U136" s="61"/>
      <c r="V136" s="61"/>
      <c r="W136" s="61"/>
    </row>
    <row r="137" spans="2:23" x14ac:dyDescent="0.25">
      <c r="B137" s="460"/>
      <c r="C137" s="102" t="str">
        <f t="shared" si="3"/>
        <v>00042</v>
      </c>
      <c r="D137" s="1" t="s">
        <v>218</v>
      </c>
      <c r="E137" s="61"/>
      <c r="F137" s="61"/>
      <c r="G137" s="61"/>
      <c r="H137" s="61"/>
      <c r="I137" s="61"/>
      <c r="J137" s="61"/>
      <c r="K137" s="61"/>
      <c r="L137" s="1" t="s">
        <v>291</v>
      </c>
      <c r="M137" s="65"/>
      <c r="N137" s="1" t="s">
        <v>292</v>
      </c>
      <c r="O137" s="61"/>
      <c r="P137" s="1" t="s">
        <v>294</v>
      </c>
      <c r="Q137" s="61"/>
      <c r="R137" s="58" t="s">
        <v>295</v>
      </c>
      <c r="S137" s="61"/>
      <c r="T137" s="61"/>
      <c r="U137" s="61"/>
      <c r="V137" s="61"/>
      <c r="W137" s="61"/>
    </row>
    <row r="138" spans="2:23" x14ac:dyDescent="0.25">
      <c r="B138" s="460"/>
      <c r="C138" s="102" t="str">
        <f t="shared" si="3"/>
        <v>00043</v>
      </c>
      <c r="D138" s="1" t="s">
        <v>218</v>
      </c>
      <c r="E138" s="61"/>
      <c r="F138" s="61"/>
      <c r="G138" s="61"/>
      <c r="H138" s="61"/>
      <c r="I138" s="61"/>
      <c r="J138" s="61"/>
      <c r="K138" s="61"/>
      <c r="L138" s="1" t="s">
        <v>291</v>
      </c>
      <c r="M138" s="65"/>
      <c r="N138" s="1" t="s">
        <v>292</v>
      </c>
      <c r="O138" s="61"/>
      <c r="P138" s="1" t="s">
        <v>294</v>
      </c>
      <c r="Q138" s="61"/>
      <c r="R138" s="58" t="s">
        <v>295</v>
      </c>
      <c r="S138" s="61"/>
      <c r="T138" s="61"/>
      <c r="U138" s="61"/>
      <c r="V138" s="61"/>
      <c r="W138" s="61"/>
    </row>
    <row r="139" spans="2:23" x14ac:dyDescent="0.25">
      <c r="B139" s="460"/>
      <c r="C139" s="102" t="str">
        <f t="shared" si="3"/>
        <v>00044</v>
      </c>
      <c r="D139" s="1" t="s">
        <v>218</v>
      </c>
      <c r="E139" s="61"/>
      <c r="F139" s="61"/>
      <c r="G139" s="61"/>
      <c r="H139" s="61"/>
      <c r="I139" s="61"/>
      <c r="J139" s="61"/>
      <c r="K139" s="61"/>
      <c r="L139" s="1" t="s">
        <v>291</v>
      </c>
      <c r="M139" s="65"/>
      <c r="N139" s="1" t="s">
        <v>292</v>
      </c>
      <c r="O139" s="61"/>
      <c r="P139" s="1" t="s">
        <v>294</v>
      </c>
      <c r="Q139" s="61"/>
      <c r="R139" s="58" t="s">
        <v>295</v>
      </c>
      <c r="S139" s="61"/>
      <c r="T139" s="61"/>
      <c r="U139" s="61"/>
      <c r="V139" s="61"/>
      <c r="W139" s="61"/>
    </row>
    <row r="140" spans="2:23" x14ac:dyDescent="0.25">
      <c r="B140" s="460"/>
      <c r="C140" s="102" t="str">
        <f t="shared" si="3"/>
        <v>00045</v>
      </c>
      <c r="D140" s="1" t="s">
        <v>218</v>
      </c>
      <c r="E140" s="61"/>
      <c r="F140" s="61"/>
      <c r="G140" s="61"/>
      <c r="H140" s="61"/>
      <c r="I140" s="61"/>
      <c r="J140" s="61"/>
      <c r="K140" s="61"/>
      <c r="L140" s="1" t="s">
        <v>291</v>
      </c>
      <c r="M140" s="65"/>
      <c r="N140" s="1" t="s">
        <v>292</v>
      </c>
      <c r="O140" s="61"/>
      <c r="P140" s="1" t="s">
        <v>294</v>
      </c>
      <c r="Q140" s="61"/>
      <c r="R140" s="58" t="s">
        <v>295</v>
      </c>
      <c r="S140" s="61"/>
      <c r="T140" s="61"/>
      <c r="U140" s="61"/>
      <c r="V140" s="61"/>
      <c r="W140" s="61"/>
    </row>
    <row r="141" spans="2:23" x14ac:dyDescent="0.25">
      <c r="B141" s="460"/>
      <c r="C141" s="102" t="str">
        <f t="shared" si="3"/>
        <v>00046</v>
      </c>
      <c r="D141" s="1" t="s">
        <v>218</v>
      </c>
      <c r="E141" s="61"/>
      <c r="F141" s="61"/>
      <c r="G141" s="61"/>
      <c r="H141" s="61"/>
      <c r="I141" s="61"/>
      <c r="J141" s="61"/>
      <c r="K141" s="61"/>
      <c r="L141" s="1" t="s">
        <v>291</v>
      </c>
      <c r="M141" s="65"/>
      <c r="N141" s="1" t="s">
        <v>292</v>
      </c>
      <c r="O141" s="61"/>
      <c r="P141" s="1" t="s">
        <v>294</v>
      </c>
      <c r="Q141" s="61"/>
      <c r="R141" s="58" t="s">
        <v>295</v>
      </c>
      <c r="S141" s="61"/>
      <c r="T141" s="61"/>
      <c r="U141" s="61"/>
      <c r="V141" s="61"/>
      <c r="W141" s="61"/>
    </row>
    <row r="142" spans="2:23" x14ac:dyDescent="0.25">
      <c r="B142" s="460"/>
      <c r="C142" s="102" t="str">
        <f t="shared" si="3"/>
        <v>00047</v>
      </c>
      <c r="D142" s="1" t="s">
        <v>218</v>
      </c>
      <c r="E142" s="61"/>
      <c r="F142" s="61"/>
      <c r="G142" s="61"/>
      <c r="H142" s="61"/>
      <c r="I142" s="61"/>
      <c r="J142" s="61"/>
      <c r="K142" s="61"/>
      <c r="L142" s="1" t="s">
        <v>291</v>
      </c>
      <c r="M142" s="65"/>
      <c r="N142" s="1" t="s">
        <v>292</v>
      </c>
      <c r="O142" s="61"/>
      <c r="P142" s="1" t="s">
        <v>294</v>
      </c>
      <c r="Q142" s="61"/>
      <c r="R142" s="58" t="s">
        <v>295</v>
      </c>
      <c r="S142" s="61"/>
      <c r="T142" s="61"/>
      <c r="U142" s="61"/>
      <c r="V142" s="61"/>
      <c r="W142" s="61"/>
    </row>
    <row r="143" spans="2:23" x14ac:dyDescent="0.25">
      <c r="B143" s="460"/>
      <c r="C143" s="102" t="str">
        <f t="shared" si="3"/>
        <v>00048</v>
      </c>
      <c r="D143" s="1" t="s">
        <v>218</v>
      </c>
      <c r="E143" s="61"/>
      <c r="F143" s="61"/>
      <c r="G143" s="61"/>
      <c r="H143" s="61"/>
      <c r="I143" s="61"/>
      <c r="J143" s="61"/>
      <c r="K143" s="61"/>
      <c r="L143" s="1" t="s">
        <v>291</v>
      </c>
      <c r="M143" s="65"/>
      <c r="N143" s="1" t="s">
        <v>292</v>
      </c>
      <c r="O143" s="61"/>
      <c r="P143" s="1" t="s">
        <v>294</v>
      </c>
      <c r="Q143" s="61"/>
      <c r="R143" s="58" t="s">
        <v>295</v>
      </c>
      <c r="S143" s="61"/>
      <c r="T143" s="61"/>
      <c r="U143" s="61"/>
      <c r="V143" s="61"/>
      <c r="W143" s="61"/>
    </row>
    <row r="144" spans="2:23" x14ac:dyDescent="0.25">
      <c r="B144" s="460"/>
      <c r="C144" s="102" t="str">
        <f t="shared" si="3"/>
        <v>00049</v>
      </c>
      <c r="D144" s="1" t="s">
        <v>218</v>
      </c>
      <c r="E144" s="61"/>
      <c r="F144" s="61"/>
      <c r="G144" s="61"/>
      <c r="H144" s="61"/>
      <c r="I144" s="61"/>
      <c r="J144" s="61"/>
      <c r="K144" s="61"/>
      <c r="L144" s="1" t="s">
        <v>291</v>
      </c>
      <c r="M144" s="65"/>
      <c r="N144" s="1" t="s">
        <v>292</v>
      </c>
      <c r="O144" s="61"/>
      <c r="P144" s="1" t="s">
        <v>294</v>
      </c>
      <c r="Q144" s="61"/>
      <c r="R144" s="58" t="s">
        <v>295</v>
      </c>
      <c r="S144" s="61"/>
      <c r="T144" s="61"/>
      <c r="U144" s="61"/>
      <c r="V144" s="61"/>
      <c r="W144" s="61"/>
    </row>
    <row r="145" spans="2:23" x14ac:dyDescent="0.25">
      <c r="B145" s="460"/>
      <c r="C145" s="102" t="str">
        <f t="shared" si="3"/>
        <v>00050</v>
      </c>
      <c r="D145" s="1" t="s">
        <v>218</v>
      </c>
      <c r="E145" s="61"/>
      <c r="F145" s="61"/>
      <c r="G145" s="61"/>
      <c r="H145" s="61"/>
      <c r="I145" s="61"/>
      <c r="J145" s="61"/>
      <c r="K145" s="61"/>
      <c r="L145" s="1"/>
      <c r="M145" s="65"/>
      <c r="N145" s="1"/>
      <c r="O145" s="61"/>
      <c r="P145" s="1"/>
      <c r="Q145" s="61"/>
      <c r="R145" s="58"/>
      <c r="S145" s="61"/>
      <c r="T145" s="61"/>
      <c r="U145" s="61"/>
      <c r="V145" s="61"/>
      <c r="W145" s="61"/>
    </row>
    <row r="146" spans="2:23" x14ac:dyDescent="0.25">
      <c r="B146" s="460"/>
      <c r="C146" s="102" t="str">
        <f t="shared" si="3"/>
        <v>00051</v>
      </c>
      <c r="D146" s="1" t="s">
        <v>218</v>
      </c>
      <c r="E146" s="61"/>
      <c r="F146" s="61"/>
      <c r="G146" s="61"/>
      <c r="H146" s="61"/>
      <c r="I146" s="61"/>
      <c r="J146" s="61"/>
      <c r="K146" s="61"/>
      <c r="L146" s="1"/>
      <c r="M146" s="65"/>
      <c r="N146" s="1"/>
      <c r="O146" s="61"/>
      <c r="P146" s="1"/>
      <c r="Q146" s="61"/>
      <c r="R146" s="58"/>
      <c r="S146" s="61"/>
      <c r="T146" s="61"/>
      <c r="U146" s="61"/>
      <c r="V146" s="61"/>
      <c r="W146" s="61"/>
    </row>
    <row r="147" spans="2:23" s="57" customFormat="1" ht="13.8" thickBot="1" x14ac:dyDescent="0.3">
      <c r="B147" s="461"/>
      <c r="C147" s="102" t="str">
        <f t="shared" si="3"/>
        <v>00052</v>
      </c>
      <c r="D147" s="56" t="s">
        <v>218</v>
      </c>
      <c r="E147" s="63"/>
      <c r="F147" s="63"/>
      <c r="G147" s="63"/>
      <c r="H147" s="63"/>
      <c r="I147" s="63"/>
      <c r="J147" s="63"/>
      <c r="K147" s="63"/>
      <c r="L147" s="56" t="s">
        <v>291</v>
      </c>
      <c r="M147" s="66"/>
      <c r="N147" s="56" t="s">
        <v>292</v>
      </c>
      <c r="O147" s="63"/>
      <c r="P147" s="56" t="s">
        <v>294</v>
      </c>
      <c r="Q147" s="63"/>
      <c r="R147" s="67" t="s">
        <v>295</v>
      </c>
      <c r="S147" s="63"/>
      <c r="T147" s="63"/>
      <c r="U147" s="63"/>
      <c r="V147" s="63"/>
      <c r="W147" s="63"/>
    </row>
    <row r="148" spans="2:23" x14ac:dyDescent="0.25">
      <c r="B148" t="s">
        <v>228</v>
      </c>
      <c r="D148" s="1" t="s">
        <v>229</v>
      </c>
    </row>
  </sheetData>
  <customSheetViews>
    <customSheetView guid="{CA5DEE9B-8C07-4C66-8968-31FD351A4FB5}" scale="90" topLeftCell="A8">
      <selection activeCell="R138" sqref="R61:R138"/>
      <pageMargins left="0.7" right="0.7" top="0.78740157499999996" bottom="0.78740157499999996" header="0.3" footer="0.3"/>
      <pageSetup paperSize="9" orientation="portrait" r:id="rId1"/>
    </customSheetView>
  </customSheetViews>
  <mergeCells count="4">
    <mergeCell ref="B36:B63"/>
    <mergeCell ref="B64:B91"/>
    <mergeCell ref="B92:B119"/>
    <mergeCell ref="B120:B147"/>
  </mergeCells>
  <pageMargins left="0.7" right="0.7" top="0.78740157499999996" bottom="0.78740157499999996"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B33"/>
  <sheetViews>
    <sheetView workbookViewId="0">
      <selection activeCell="A18" sqref="A18:B18"/>
    </sheetView>
  </sheetViews>
  <sheetFormatPr baseColWidth="10" defaultRowHeight="13.2" x14ac:dyDescent="0.25"/>
  <cols>
    <col min="1" max="1" width="32.5546875" style="315" customWidth="1"/>
    <col min="2" max="2" width="68.109375" style="36" customWidth="1"/>
  </cols>
  <sheetData>
    <row r="1" spans="1:2" s="126" customFormat="1" ht="50.4" customHeight="1" x14ac:dyDescent="0.4">
      <c r="A1" s="316"/>
      <c r="B1" s="314" t="s">
        <v>624</v>
      </c>
    </row>
    <row r="3" spans="1:2" s="315" customFormat="1" ht="28.35" customHeight="1" x14ac:dyDescent="0.25">
      <c r="A3" s="388" t="s">
        <v>625</v>
      </c>
      <c r="B3" s="388"/>
    </row>
    <row r="4" spans="1:2" s="315" customFormat="1" x14ac:dyDescent="0.25">
      <c r="A4" s="388"/>
      <c r="B4" s="388"/>
    </row>
    <row r="5" spans="1:2" s="315" customFormat="1" ht="28.35" customHeight="1" x14ac:dyDescent="0.25">
      <c r="A5" s="390" t="s">
        <v>640</v>
      </c>
      <c r="B5" s="390"/>
    </row>
    <row r="6" spans="1:2" s="315" customFormat="1" ht="11.7" customHeight="1" x14ac:dyDescent="0.25">
      <c r="A6" s="391"/>
      <c r="B6" s="391"/>
    </row>
    <row r="7" spans="1:2" s="315" customFormat="1" ht="28.35" customHeight="1" x14ac:dyDescent="0.25">
      <c r="A7" s="388" t="s">
        <v>626</v>
      </c>
      <c r="B7" s="388"/>
    </row>
    <row r="8" spans="1:2" s="315" customFormat="1" ht="28.35" customHeight="1" x14ac:dyDescent="0.25">
      <c r="A8" s="388" t="s">
        <v>627</v>
      </c>
      <c r="B8" s="388"/>
    </row>
    <row r="9" spans="1:2" s="315" customFormat="1" ht="28.35" customHeight="1" x14ac:dyDescent="0.25">
      <c r="A9" s="388" t="s">
        <v>641</v>
      </c>
      <c r="B9" s="388"/>
    </row>
    <row r="10" spans="1:2" s="315" customFormat="1" x14ac:dyDescent="0.25">
      <c r="A10" s="388"/>
      <c r="B10" s="388"/>
    </row>
    <row r="11" spans="1:2" s="315" customFormat="1" ht="28.35" customHeight="1" x14ac:dyDescent="0.25">
      <c r="A11" s="389" t="s">
        <v>628</v>
      </c>
      <c r="B11" s="389"/>
    </row>
    <row r="12" spans="1:2" s="315" customFormat="1" x14ac:dyDescent="0.25">
      <c r="A12" s="388"/>
      <c r="B12" s="388"/>
    </row>
    <row r="13" spans="1:2" s="315" customFormat="1" ht="28.35" customHeight="1" x14ac:dyDescent="0.25">
      <c r="A13" s="388" t="s">
        <v>629</v>
      </c>
      <c r="B13" s="388"/>
    </row>
    <row r="14" spans="1:2" s="315" customFormat="1" ht="28.35" customHeight="1" x14ac:dyDescent="0.25">
      <c r="A14" s="388" t="s">
        <v>630</v>
      </c>
      <c r="B14" s="388"/>
    </row>
    <row r="15" spans="1:2" s="315" customFormat="1" ht="28.35" customHeight="1" x14ac:dyDescent="0.25">
      <c r="A15" s="388" t="s">
        <v>642</v>
      </c>
      <c r="B15" s="388"/>
    </row>
    <row r="16" spans="1:2" s="315" customFormat="1" ht="28.35" customHeight="1" x14ac:dyDescent="0.25">
      <c r="A16" s="388" t="s">
        <v>631</v>
      </c>
      <c r="B16" s="388"/>
    </row>
    <row r="17" spans="1:2" s="315" customFormat="1" ht="28.35" customHeight="1" x14ac:dyDescent="0.25">
      <c r="A17" s="388" t="s">
        <v>684</v>
      </c>
      <c r="B17" s="388"/>
    </row>
    <row r="18" spans="1:2" s="315" customFormat="1" x14ac:dyDescent="0.25">
      <c r="A18" s="388"/>
      <c r="B18" s="388"/>
    </row>
    <row r="19" spans="1:2" s="315" customFormat="1" ht="28.35" customHeight="1" x14ac:dyDescent="0.25">
      <c r="A19" s="389" t="s">
        <v>632</v>
      </c>
      <c r="B19" s="389"/>
    </row>
    <row r="20" spans="1:2" s="315" customFormat="1" x14ac:dyDescent="0.25">
      <c r="A20" s="388"/>
      <c r="B20" s="388"/>
    </row>
    <row r="21" spans="1:2" s="315" customFormat="1" ht="28.35" customHeight="1" x14ac:dyDescent="0.25">
      <c r="A21" s="388" t="s">
        <v>633</v>
      </c>
      <c r="B21" s="388"/>
    </row>
    <row r="22" spans="1:2" s="315" customFormat="1" ht="28.35" customHeight="1" x14ac:dyDescent="0.25">
      <c r="A22" s="388" t="s">
        <v>634</v>
      </c>
      <c r="B22" s="388"/>
    </row>
    <row r="23" spans="1:2" s="315" customFormat="1" ht="28.35" customHeight="1" x14ac:dyDescent="0.25">
      <c r="A23" s="388" t="s">
        <v>643</v>
      </c>
      <c r="B23" s="388"/>
    </row>
    <row r="24" spans="1:2" s="315" customFormat="1" ht="28.35" customHeight="1" x14ac:dyDescent="0.25">
      <c r="A24" s="388" t="s">
        <v>635</v>
      </c>
      <c r="B24" s="388"/>
    </row>
    <row r="25" spans="1:2" s="315" customFormat="1" ht="28.35" customHeight="1" x14ac:dyDescent="0.25">
      <c r="A25" s="388" t="s">
        <v>636</v>
      </c>
      <c r="B25" s="388"/>
    </row>
    <row r="26" spans="1:2" s="315" customFormat="1" x14ac:dyDescent="0.25">
      <c r="A26" s="388"/>
      <c r="B26" s="388"/>
    </row>
    <row r="27" spans="1:2" s="315" customFormat="1" ht="28.35" customHeight="1" x14ac:dyDescent="0.25">
      <c r="A27" s="389" t="s">
        <v>637</v>
      </c>
      <c r="B27" s="389"/>
    </row>
    <row r="28" spans="1:2" s="315" customFormat="1" x14ac:dyDescent="0.25">
      <c r="A28" s="388"/>
      <c r="B28" s="388"/>
    </row>
    <row r="29" spans="1:2" s="315" customFormat="1" ht="28.35" customHeight="1" x14ac:dyDescent="0.25">
      <c r="A29" s="388" t="s">
        <v>638</v>
      </c>
      <c r="B29" s="388"/>
    </row>
    <row r="30" spans="1:2" s="315" customFormat="1" ht="28.35" customHeight="1" x14ac:dyDescent="0.25">
      <c r="A30" s="388" t="s">
        <v>644</v>
      </c>
      <c r="B30" s="388"/>
    </row>
    <row r="31" spans="1:2" s="315" customFormat="1" ht="28.35" customHeight="1" x14ac:dyDescent="0.25">
      <c r="A31" s="388" t="s">
        <v>645</v>
      </c>
      <c r="B31" s="388"/>
    </row>
    <row r="32" spans="1:2" s="315" customFormat="1" ht="28.35" customHeight="1" x14ac:dyDescent="0.25">
      <c r="A32" s="388" t="s">
        <v>639</v>
      </c>
      <c r="B32" s="388"/>
    </row>
    <row r="33" s="315" customFormat="1" ht="28.35" customHeight="1" x14ac:dyDescent="0.25"/>
  </sheetData>
  <sheetProtection algorithmName="SHA-512" hashValue="uy5i6HGolX0hSpWS/BCKgHaNj/Eh8gbvJQ0chjlPPILoNPhU2HezQZkuUARUqGgzpvSJQcxE5USiBOISpcenRw==" saltValue="FKewt0QmzBW24mxVqTPOug==" spinCount="100000" sheet="1" objects="1" scenarios="1"/>
  <mergeCells count="30">
    <mergeCell ref="A9:B9"/>
    <mergeCell ref="A10:B10"/>
    <mergeCell ref="A5:B5"/>
    <mergeCell ref="A6:B6"/>
    <mergeCell ref="A3:B3"/>
    <mergeCell ref="A4:B4"/>
    <mergeCell ref="A7:B7"/>
    <mergeCell ref="A8:B8"/>
    <mergeCell ref="A23:B23"/>
    <mergeCell ref="A11:B11"/>
    <mergeCell ref="A12:B12"/>
    <mergeCell ref="A13:B13"/>
    <mergeCell ref="A14:B14"/>
    <mergeCell ref="A15:B15"/>
    <mergeCell ref="A16:B16"/>
    <mergeCell ref="A18:B18"/>
    <mergeCell ref="A19:B19"/>
    <mergeCell ref="A20:B20"/>
    <mergeCell ref="A21:B21"/>
    <mergeCell ref="A22:B22"/>
    <mergeCell ref="A17:B17"/>
    <mergeCell ref="A30:B30"/>
    <mergeCell ref="A31:B31"/>
    <mergeCell ref="A32:B32"/>
    <mergeCell ref="A24:B24"/>
    <mergeCell ref="A25:B25"/>
    <mergeCell ref="A26:B26"/>
    <mergeCell ref="A27:B27"/>
    <mergeCell ref="A28:B28"/>
    <mergeCell ref="A29:B29"/>
  </mergeCells>
  <pageMargins left="0.7" right="0.7" top="0.78740157499999996" bottom="0.78740157499999996" header="0.3" footer="0.3"/>
  <pageSetup paperSize="9" scale="8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K37"/>
  <sheetViews>
    <sheetView tabSelected="1" view="pageBreakPreview" topLeftCell="B1" zoomScale="90" zoomScaleNormal="90" zoomScaleSheetLayoutView="90" workbookViewId="0">
      <selection activeCell="G24" sqref="G24"/>
    </sheetView>
  </sheetViews>
  <sheetFormatPr baseColWidth="10" defaultColWidth="10.5546875" defaultRowHeight="13.2" x14ac:dyDescent="0.25"/>
  <cols>
    <col min="1" max="1" width="4.109375" style="126" customWidth="1"/>
    <col min="2" max="2" width="31.109375" style="126" customWidth="1"/>
    <col min="3" max="3" width="2.44140625" style="126" customWidth="1"/>
    <col min="4" max="5" width="10.5546875" style="126"/>
    <col min="6" max="6" width="16.6640625" style="126" customWidth="1"/>
    <col min="7" max="7" width="7" style="126" customWidth="1"/>
    <col min="8" max="11" width="10.5546875" style="126"/>
    <col min="12" max="12" width="2" style="126" customWidth="1"/>
    <col min="13" max="16384" width="10.5546875" style="126"/>
  </cols>
  <sheetData>
    <row r="1" spans="1:11" ht="50.4" customHeight="1" x14ac:dyDescent="0.45">
      <c r="A1" s="187"/>
      <c r="B1" s="188"/>
      <c r="C1" s="188"/>
      <c r="D1" s="393" t="s">
        <v>462</v>
      </c>
      <c r="E1" s="393"/>
      <c r="F1" s="393"/>
      <c r="G1" s="393"/>
      <c r="H1" s="393"/>
      <c r="I1" s="393"/>
      <c r="J1" s="393"/>
      <c r="K1" s="393"/>
    </row>
    <row r="2" spans="1:11" s="131" customFormat="1" ht="32.4" customHeight="1" x14ac:dyDescent="0.25">
      <c r="A2" s="360"/>
      <c r="B2" s="360"/>
      <c r="C2" s="360"/>
      <c r="D2" s="360"/>
      <c r="E2" s="360"/>
      <c r="F2" s="360"/>
      <c r="G2" s="394" t="s">
        <v>677</v>
      </c>
      <c r="H2" s="395"/>
      <c r="I2" s="396" t="s">
        <v>686</v>
      </c>
      <c r="J2" s="397"/>
      <c r="K2" s="397"/>
    </row>
    <row r="3" spans="1:11" ht="22.8" x14ac:dyDescent="0.25">
      <c r="A3" s="120"/>
      <c r="B3" s="398" t="s">
        <v>451</v>
      </c>
      <c r="C3" s="398"/>
      <c r="D3" s="398"/>
      <c r="E3" s="121"/>
      <c r="F3" s="122"/>
      <c r="G3" s="124" t="s">
        <v>408</v>
      </c>
      <c r="H3" s="194">
        <v>0</v>
      </c>
      <c r="I3" s="124" t="s">
        <v>409</v>
      </c>
      <c r="J3" s="399">
        <v>44274</v>
      </c>
      <c r="K3" s="400"/>
    </row>
    <row r="4" spans="1:11" ht="12" customHeight="1" thickBot="1" x14ac:dyDescent="0.3">
      <c r="A4" s="120"/>
      <c r="B4" s="203"/>
      <c r="C4" s="203"/>
      <c r="D4" s="203"/>
      <c r="E4" s="121"/>
      <c r="F4" s="122"/>
      <c r="G4" s="189"/>
      <c r="K4" s="190"/>
    </row>
    <row r="5" spans="1:11" ht="16.2" thickBot="1" x14ac:dyDescent="0.3">
      <c r="A5" s="344" t="s">
        <v>446</v>
      </c>
      <c r="B5" s="392" t="s">
        <v>447</v>
      </c>
      <c r="C5" s="392"/>
      <c r="D5" s="392"/>
      <c r="E5" s="392"/>
      <c r="F5" s="345"/>
      <c r="H5" s="135"/>
      <c r="I5" s="136" t="s">
        <v>96</v>
      </c>
      <c r="J5" s="137"/>
    </row>
    <row r="6" spans="1:11" ht="9.6" customHeight="1" x14ac:dyDescent="0.25">
      <c r="A6" s="346"/>
      <c r="B6" s="195"/>
      <c r="C6" s="195"/>
      <c r="D6" s="195"/>
      <c r="E6" s="195"/>
      <c r="F6" s="347"/>
    </row>
    <row r="7" spans="1:11" x14ac:dyDescent="0.25">
      <c r="A7" s="348"/>
      <c r="B7" s="338" t="s">
        <v>440</v>
      </c>
      <c r="C7" s="338"/>
      <c r="D7" s="338"/>
      <c r="E7" s="202" t="s">
        <v>442</v>
      </c>
      <c r="F7" s="349"/>
    </row>
    <row r="8" spans="1:11" x14ac:dyDescent="0.25">
      <c r="A8" s="348"/>
      <c r="B8" s="401" t="s">
        <v>19</v>
      </c>
      <c r="C8" s="401"/>
      <c r="D8" s="338" t="s">
        <v>436</v>
      </c>
      <c r="E8" s="196">
        <v>20</v>
      </c>
      <c r="F8" s="349" t="str">
        <f>'Design Tool'!E31</f>
        <v>°C</v>
      </c>
      <c r="G8" s="131"/>
      <c r="H8" s="131"/>
      <c r="I8" s="131"/>
      <c r="J8" s="131"/>
      <c r="K8" s="131"/>
    </row>
    <row r="9" spans="1:11" x14ac:dyDescent="0.25">
      <c r="A9" s="348"/>
      <c r="B9" s="401" t="s">
        <v>15</v>
      </c>
      <c r="C9" s="401"/>
      <c r="D9" s="338" t="s">
        <v>436</v>
      </c>
      <c r="E9" s="197">
        <v>38000</v>
      </c>
      <c r="F9" s="349" t="str">
        <f>'Design Tool'!E30</f>
        <v>ppm</v>
      </c>
      <c r="G9" s="131"/>
      <c r="H9" s="131"/>
      <c r="I9" s="131"/>
      <c r="J9" s="131"/>
      <c r="K9" s="131"/>
    </row>
    <row r="10" spans="1:11" ht="14.4" thickBot="1" x14ac:dyDescent="0.3">
      <c r="A10" s="351"/>
      <c r="B10" s="403" t="s">
        <v>439</v>
      </c>
      <c r="C10" s="403"/>
      <c r="D10" s="352" t="s">
        <v>437</v>
      </c>
      <c r="E10" s="355">
        <v>5</v>
      </c>
      <c r="F10" s="356" t="s">
        <v>438</v>
      </c>
      <c r="G10" s="131"/>
      <c r="H10" s="131"/>
      <c r="I10" s="131"/>
      <c r="J10" s="131"/>
      <c r="K10" s="131"/>
    </row>
    <row r="11" spans="1:11" ht="13.8" thickBot="1" x14ac:dyDescent="0.3">
      <c r="A11" s="157"/>
      <c r="B11" s="357"/>
      <c r="C11" s="357"/>
      <c r="D11" s="357"/>
      <c r="E11" s="357"/>
      <c r="F11" s="358"/>
      <c r="G11" s="131"/>
      <c r="H11" s="131"/>
      <c r="I11" s="131"/>
      <c r="J11" s="131"/>
      <c r="K11" s="131"/>
    </row>
    <row r="12" spans="1:11" ht="15.6" x14ac:dyDescent="0.25">
      <c r="A12" s="344" t="s">
        <v>448</v>
      </c>
      <c r="B12" s="392" t="s">
        <v>449</v>
      </c>
      <c r="C12" s="392"/>
      <c r="D12" s="392"/>
      <c r="E12" s="392"/>
      <c r="F12" s="345"/>
    </row>
    <row r="13" spans="1:11" ht="9.6" customHeight="1" x14ac:dyDescent="0.25">
      <c r="A13" s="346"/>
      <c r="B13" s="195"/>
      <c r="C13" s="195"/>
      <c r="D13" s="195"/>
      <c r="E13" s="195"/>
      <c r="F13" s="347"/>
    </row>
    <row r="14" spans="1:11" x14ac:dyDescent="0.25">
      <c r="A14" s="348"/>
      <c r="B14" s="401" t="s">
        <v>450</v>
      </c>
      <c r="C14" s="401"/>
      <c r="D14" s="366"/>
      <c r="E14" s="196">
        <v>55</v>
      </c>
      <c r="F14" s="349" t="str">
        <f>'Design Tool'!E11</f>
        <v>bar</v>
      </c>
    </row>
    <row r="15" spans="1:11" x14ac:dyDescent="0.25">
      <c r="A15" s="348"/>
      <c r="B15" s="401" t="str">
        <f>'Design Tool'!M20</f>
        <v>Membran pressure drop</v>
      </c>
      <c r="C15" s="401"/>
      <c r="D15" s="366"/>
      <c r="E15" s="198">
        <v>1</v>
      </c>
      <c r="F15" s="349" t="str">
        <f>'Design Tool'!Q20</f>
        <v>bar</v>
      </c>
      <c r="G15" s="191"/>
      <c r="H15" s="131"/>
      <c r="I15" s="131"/>
      <c r="J15" s="131"/>
      <c r="K15" s="131"/>
    </row>
    <row r="16" spans="1:11" x14ac:dyDescent="0.25">
      <c r="A16" s="348"/>
      <c r="B16" s="401" t="str">
        <f>Berechnungen!B9</f>
        <v>Permeate Flow</v>
      </c>
      <c r="C16" s="401"/>
      <c r="D16" s="366"/>
      <c r="E16" s="198">
        <v>5.4</v>
      </c>
      <c r="F16" s="349" t="str">
        <f>'Design Tool'!O8</f>
        <v>m³/h</v>
      </c>
      <c r="G16" s="131"/>
      <c r="H16" s="131"/>
      <c r="I16" s="131"/>
      <c r="J16" s="131"/>
      <c r="K16" s="131"/>
    </row>
    <row r="17" spans="1:11" x14ac:dyDescent="0.25">
      <c r="A17" s="348"/>
      <c r="B17" s="308" t="s">
        <v>593</v>
      </c>
      <c r="C17" s="308"/>
      <c r="D17" s="309" t="s">
        <v>557</v>
      </c>
      <c r="E17" s="287">
        <v>250</v>
      </c>
      <c r="F17" s="349"/>
      <c r="G17" s="131"/>
      <c r="H17" s="131"/>
      <c r="I17" s="131"/>
      <c r="J17" s="131"/>
      <c r="K17" s="131"/>
    </row>
    <row r="18" spans="1:11" x14ac:dyDescent="0.25">
      <c r="A18" s="348"/>
      <c r="B18" s="367" t="str">
        <f>'Design Tool'!M27</f>
        <v>Number of SALINO®s required</v>
      </c>
      <c r="C18" s="367"/>
      <c r="D18" s="402" t="s">
        <v>461</v>
      </c>
      <c r="E18" s="199">
        <f>'Design Tool'!P27</f>
        <v>1</v>
      </c>
      <c r="F18" s="350"/>
      <c r="G18" s="131"/>
      <c r="H18" s="131"/>
      <c r="I18" s="131"/>
      <c r="J18" s="131"/>
      <c r="K18" s="131"/>
    </row>
    <row r="19" spans="1:11" ht="18" customHeight="1" x14ac:dyDescent="0.25">
      <c r="A19" s="348"/>
      <c r="B19" s="367" t="s">
        <v>460</v>
      </c>
      <c r="C19" s="367"/>
      <c r="D19" s="402"/>
      <c r="E19" s="200">
        <f>'Design Tool'!D10</f>
        <v>15.428571428571432</v>
      </c>
      <c r="F19" s="350" t="str">
        <f>'Design Tool'!E10</f>
        <v>m³/h</v>
      </c>
      <c r="G19" s="131"/>
      <c r="H19" s="131"/>
      <c r="I19" s="131"/>
      <c r="J19" s="131"/>
      <c r="K19" s="131"/>
    </row>
    <row r="20" spans="1:11" ht="18" customHeight="1" x14ac:dyDescent="0.25">
      <c r="A20" s="348"/>
      <c r="B20" s="367" t="str">
        <f>'Design Tool'!M28</f>
        <v>Rotational speed</v>
      </c>
      <c r="C20" s="367"/>
      <c r="D20" s="402"/>
      <c r="E20" s="199">
        <f>'Design Tool'!P28</f>
        <v>1142.8571428571433</v>
      </c>
      <c r="F20" s="350" t="s">
        <v>420</v>
      </c>
      <c r="G20" s="131"/>
      <c r="H20" s="131"/>
      <c r="I20" s="131"/>
      <c r="J20" s="131"/>
      <c r="K20" s="131"/>
    </row>
    <row r="21" spans="1:11" ht="18" customHeight="1" x14ac:dyDescent="0.25">
      <c r="A21" s="348"/>
      <c r="B21" s="404" t="s">
        <v>6</v>
      </c>
      <c r="C21" s="404"/>
      <c r="D21" s="368" t="str">
        <f>IF(AND(E21&gt;5,E21&lt;&gt;""),"","WRONG")</f>
        <v/>
      </c>
      <c r="E21" s="198">
        <v>35</v>
      </c>
      <c r="F21" s="369" t="str">
        <f>'Design Tool'!I4</f>
        <v>%</v>
      </c>
      <c r="G21" s="131"/>
      <c r="H21" s="131"/>
      <c r="I21" s="131"/>
      <c r="J21" s="131"/>
      <c r="K21" s="131"/>
    </row>
    <row r="22" spans="1:11" ht="18" customHeight="1" thickBot="1" x14ac:dyDescent="0.3">
      <c r="A22" s="351"/>
      <c r="B22" s="403" t="s">
        <v>682</v>
      </c>
      <c r="C22" s="403"/>
      <c r="D22" s="359" t="str">
        <f>IF(AND(E22=0),"","Exception")</f>
        <v/>
      </c>
      <c r="E22" s="370">
        <v>0</v>
      </c>
      <c r="F22" s="356" t="str">
        <f>F21</f>
        <v>%</v>
      </c>
      <c r="G22" s="131"/>
      <c r="H22" s="131"/>
      <c r="I22" s="131"/>
      <c r="J22" s="131"/>
      <c r="K22" s="131"/>
    </row>
    <row r="23" spans="1:11" ht="13.8" thickBot="1" x14ac:dyDescent="0.3">
      <c r="A23" s="157"/>
      <c r="B23" s="357"/>
      <c r="C23" s="357"/>
      <c r="D23" s="357"/>
      <c r="E23" s="357"/>
      <c r="F23" s="358"/>
      <c r="G23" s="131"/>
      <c r="H23" s="131"/>
      <c r="I23" s="131"/>
      <c r="J23" s="131"/>
      <c r="K23" s="131"/>
    </row>
    <row r="24" spans="1:11" ht="15.6" x14ac:dyDescent="0.25">
      <c r="A24" s="344" t="s">
        <v>452</v>
      </c>
      <c r="B24" s="392" t="s">
        <v>453</v>
      </c>
      <c r="C24" s="392"/>
      <c r="D24" s="392"/>
      <c r="E24" s="392"/>
      <c r="F24" s="345"/>
    </row>
    <row r="25" spans="1:11" ht="9.6" customHeight="1" x14ac:dyDescent="0.25">
      <c r="A25" s="346"/>
      <c r="B25" s="195"/>
      <c r="C25" s="195"/>
      <c r="D25" s="195"/>
      <c r="E25" s="195"/>
      <c r="F25" s="347"/>
    </row>
    <row r="26" spans="1:11" x14ac:dyDescent="0.25">
      <c r="A26" s="348"/>
      <c r="B26" s="401" t="s">
        <v>454</v>
      </c>
      <c r="C26" s="401"/>
      <c r="D26" s="338" t="s">
        <v>455</v>
      </c>
      <c r="E26" s="196">
        <v>400</v>
      </c>
      <c r="F26" s="349" t="s">
        <v>415</v>
      </c>
    </row>
    <row r="27" spans="1:11" x14ac:dyDescent="0.25">
      <c r="A27" s="348"/>
      <c r="B27" s="401"/>
      <c r="C27" s="401"/>
      <c r="D27" s="338" t="s">
        <v>456</v>
      </c>
      <c r="E27" s="196">
        <v>50</v>
      </c>
      <c r="F27" s="349" t="s">
        <v>417</v>
      </c>
    </row>
    <row r="28" spans="1:11" x14ac:dyDescent="0.25">
      <c r="A28" s="348"/>
      <c r="B28" s="401" t="s">
        <v>457</v>
      </c>
      <c r="C28" s="401"/>
      <c r="D28" s="338" t="s">
        <v>440</v>
      </c>
      <c r="E28" s="201" t="s">
        <v>458</v>
      </c>
      <c r="F28" s="349"/>
    </row>
    <row r="29" spans="1:11" ht="27" thickBot="1" x14ac:dyDescent="0.3">
      <c r="A29" s="351"/>
      <c r="B29" s="403"/>
      <c r="C29" s="403"/>
      <c r="D29" s="352" t="s">
        <v>459</v>
      </c>
      <c r="E29" s="353">
        <v>1.2</v>
      </c>
      <c r="F29" s="354" t="s">
        <v>676</v>
      </c>
      <c r="G29" s="192"/>
      <c r="H29" s="192"/>
      <c r="I29" s="180"/>
      <c r="K29" s="175"/>
    </row>
    <row r="30" spans="1:11" x14ac:dyDescent="0.25">
      <c r="F30" s="192"/>
      <c r="H30" s="180"/>
      <c r="I30" s="180"/>
      <c r="J30" s="182"/>
      <c r="K30" s="175"/>
    </row>
    <row r="31" spans="1:11" ht="15" x14ac:dyDescent="0.25">
      <c r="B31" s="405" t="s">
        <v>164</v>
      </c>
      <c r="C31" s="405"/>
      <c r="D31" s="405"/>
      <c r="E31" s="104" t="s">
        <v>392</v>
      </c>
      <c r="F31" s="204"/>
      <c r="G31" s="341"/>
      <c r="H31" s="406" t="s">
        <v>429</v>
      </c>
      <c r="I31" s="406"/>
      <c r="J31" s="182"/>
      <c r="K31" s="182"/>
    </row>
    <row r="32" spans="1:11" ht="27.9" customHeight="1" x14ac:dyDescent="0.25">
      <c r="B32" s="408" t="s">
        <v>428</v>
      </c>
      <c r="C32" s="408"/>
      <c r="D32" s="408"/>
      <c r="E32" s="341"/>
      <c r="F32" s="341"/>
      <c r="G32" s="341"/>
      <c r="H32" s="407" t="s">
        <v>410</v>
      </c>
      <c r="I32" s="407"/>
      <c r="J32" s="339" t="str">
        <f>'Design Tool'!J38</f>
        <v>200103_01_06</v>
      </c>
      <c r="K32" s="340"/>
    </row>
    <row r="33" spans="2:6" x14ac:dyDescent="0.25">
      <c r="B33" s="193"/>
      <c r="C33" s="193"/>
      <c r="D33" s="193"/>
      <c r="E33" s="193"/>
      <c r="F33" s="193"/>
    </row>
    <row r="34" spans="2:6" x14ac:dyDescent="0.25">
      <c r="B34" s="193"/>
      <c r="C34" s="193"/>
      <c r="D34" s="193"/>
      <c r="E34" s="193"/>
      <c r="F34" s="193"/>
    </row>
    <row r="35" spans="2:6" x14ac:dyDescent="0.25">
      <c r="B35" s="193"/>
      <c r="C35" s="193"/>
      <c r="D35" s="193"/>
      <c r="E35" s="193"/>
      <c r="F35" s="193"/>
    </row>
    <row r="36" spans="2:6" x14ac:dyDescent="0.25">
      <c r="B36" s="193"/>
      <c r="C36" s="193"/>
      <c r="D36" s="193"/>
      <c r="E36" s="193"/>
      <c r="F36" s="193"/>
    </row>
    <row r="37" spans="2:6" x14ac:dyDescent="0.25">
      <c r="B37" s="193"/>
      <c r="C37" s="193"/>
      <c r="D37" s="193"/>
      <c r="E37" s="193"/>
      <c r="F37" s="193"/>
    </row>
  </sheetData>
  <sheetProtection algorithmName="SHA-512" hashValue="MOH1+MoRXwQBPtp36gtGS8LSnUUKtp6Dj4WqS3CflD/Og0dZF8nWg2T4o1gYa2jDSHHmCwCz8iqvIaB4XRQkWw==" saltValue="i5LWr9JSixj47X2hJZTsaA==" spinCount="100000" sheet="1" objects="1" scenarios="1"/>
  <mergeCells count="25">
    <mergeCell ref="B29:C29"/>
    <mergeCell ref="B31:D31"/>
    <mergeCell ref="H31:I31"/>
    <mergeCell ref="H32:I32"/>
    <mergeCell ref="B32:D32"/>
    <mergeCell ref="B28:C28"/>
    <mergeCell ref="D18:D20"/>
    <mergeCell ref="B8:C8"/>
    <mergeCell ref="B9:C9"/>
    <mergeCell ref="B10:C10"/>
    <mergeCell ref="B12:E12"/>
    <mergeCell ref="B14:C14"/>
    <mergeCell ref="B15:C15"/>
    <mergeCell ref="B16:C16"/>
    <mergeCell ref="B21:C21"/>
    <mergeCell ref="B24:E24"/>
    <mergeCell ref="B26:C26"/>
    <mergeCell ref="B27:C27"/>
    <mergeCell ref="B22:C22"/>
    <mergeCell ref="B5:E5"/>
    <mergeCell ref="D1:K1"/>
    <mergeCell ref="G2:H2"/>
    <mergeCell ref="I2:K2"/>
    <mergeCell ref="B3:D3"/>
    <mergeCell ref="J3:K3"/>
  </mergeCells>
  <conditionalFormatting sqref="E22">
    <cfRule type="cellIs" dxfId="2" priority="1" operator="equal">
      <formula>0</formula>
    </cfRule>
  </conditionalFormatting>
  <dataValidations count="1">
    <dataValidation type="whole" allowBlank="1" showInputMessage="1" showErrorMessage="1" sqref="E22">
      <formula1>-5</formula1>
      <formula2>25</formula2>
    </dataValidation>
  </dataValidations>
  <hyperlinks>
    <hyperlink ref="B31" r:id="rId1"/>
    <hyperlink ref="E31" r:id="rId2"/>
  </hyperlinks>
  <pageMargins left="0.70866141732283472" right="0.70866141732283472" top="0.78740157480314965" bottom="0.78740157480314965" header="0.31496062992125984" footer="0.31496062992125984"/>
  <pageSetup paperSize="9" scale="96" orientation="landscape" r:id="rId3"/>
  <drawing r:id="rId4"/>
  <extLst>
    <ext xmlns:x14="http://schemas.microsoft.com/office/spreadsheetml/2009/9/main" uri="{CCE6A557-97BC-4b89-ADB6-D9C93CAAB3DF}">
      <x14:dataValidations xmlns:xm="http://schemas.microsoft.com/office/excel/2006/main" count="5">
        <x14:dataValidation type="list" allowBlank="1" showInputMessage="1" showErrorMessage="1">
          <x14:formula1>
            <xm:f>Berechnungen!$C$50:$C$60</xm:f>
          </x14:formula1>
          <xm:sqref>E21</xm:sqref>
        </x14:dataValidation>
        <x14:dataValidation type="list" allowBlank="1" showInputMessage="1" showErrorMessage="1">
          <x14:formula1>
            <xm:f>Berechnungen!$C$65:$C$68</xm:f>
          </x14:formula1>
          <xm:sqref>E7</xm:sqref>
        </x14:dataValidation>
        <x14:dataValidation type="list" allowBlank="1" showInputMessage="1" showErrorMessage="1">
          <x14:formula1>
            <xm:f>Overview_Salino_cleaned!$A$12:$A$23</xm:f>
          </x14:formula1>
          <xm:sqref>E17</xm:sqref>
        </x14:dataValidation>
        <x14:dataValidation type="decimal" allowBlank="1" showInputMessage="1" showErrorMessage="1">
          <x14:formula1>
            <xm:f>1000</xm:f>
          </x14:formula1>
          <x14:formula2>
            <xm:f>Berechnungen!B80</xm:f>
          </x14:formula2>
          <xm:sqref>E9</xm:sqref>
        </x14:dataValidation>
        <x14:dataValidation type="decimal" allowBlank="1" showInputMessage="1" showErrorMessage="1">
          <x14:formula1>
            <xm:f>Berechnungen!D80</xm:f>
          </x14:formula1>
          <x14:formula2>
            <xm:f>Berechnungen!D81</xm:f>
          </x14:formula2>
          <xm:sqref>E8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N45"/>
  <sheetViews>
    <sheetView showGridLines="0" topLeftCell="B2" zoomScale="80" zoomScaleNormal="80" zoomScalePageLayoutView="90" workbookViewId="0">
      <selection activeCell="P13" sqref="P13"/>
    </sheetView>
  </sheetViews>
  <sheetFormatPr baseColWidth="10" defaultColWidth="3.5546875" defaultRowHeight="13.2" zeroHeight="1" outlineLevelCol="1" x14ac:dyDescent="0.25"/>
  <cols>
    <col min="1" max="1" width="4.44140625" style="126" customWidth="1"/>
    <col min="2" max="2" width="13" style="408" customWidth="1"/>
    <col min="3" max="3" width="0.109375" style="408" hidden="1" customWidth="1"/>
    <col min="4" max="4" width="7.5546875" style="408" customWidth="1"/>
    <col min="5" max="5" width="9.88671875" style="408" customWidth="1"/>
    <col min="6" max="6" width="20.109375" style="408" customWidth="1"/>
    <col min="7" max="7" width="13.5546875" style="408" customWidth="1"/>
    <col min="8" max="8" width="8.109375" style="126" customWidth="1"/>
    <col min="9" max="9" width="7.109375" style="126" customWidth="1"/>
    <col min="10" max="10" width="5.44140625" style="126" customWidth="1"/>
    <col min="11" max="11" width="5.88671875" style="126" customWidth="1"/>
    <col min="12" max="12" width="10.44140625" style="126" customWidth="1"/>
    <col min="13" max="13" width="12.109375" style="126" customWidth="1"/>
    <col min="14" max="14" width="7.88671875" style="126" customWidth="1"/>
    <col min="15" max="15" width="7" style="126" customWidth="1"/>
    <col min="16" max="16" width="8.88671875" style="126" customWidth="1"/>
    <col min="17" max="17" width="8.109375" style="126" customWidth="1"/>
    <col min="18" max="18" width="0.109375" customWidth="1"/>
    <col min="19" max="19" width="5.44140625" style="107" customWidth="1"/>
    <col min="20" max="20" width="35.109375" style="107" customWidth="1" outlineLevel="1"/>
    <col min="21" max="23" width="11.44140625" style="107" customWidth="1" outlineLevel="1"/>
    <col min="24" max="40" width="11.44140625" style="107" customWidth="1"/>
    <col min="41" max="16382" width="11.44140625" customWidth="1"/>
    <col min="16383" max="16384" width="0.109375" customWidth="1"/>
  </cols>
  <sheetData>
    <row r="1" spans="1:17" ht="39.75" customHeight="1" thickBot="1" x14ac:dyDescent="0.45">
      <c r="A1" s="421" t="str">
        <f>Berechnungen!E3</f>
        <v>SALINO® 250 Pressure Center  ̶  Design Tool</v>
      </c>
      <c r="B1" s="421"/>
      <c r="C1" s="421"/>
      <c r="D1" s="421"/>
      <c r="E1" s="421"/>
      <c r="F1" s="421"/>
      <c r="G1" s="421"/>
      <c r="H1" s="421"/>
      <c r="I1" s="421"/>
      <c r="J1" s="421"/>
      <c r="K1" s="421"/>
      <c r="L1" s="421"/>
      <c r="M1" s="422"/>
      <c r="N1" s="422"/>
      <c r="O1" s="422"/>
      <c r="P1" s="422"/>
      <c r="Q1" s="422"/>
    </row>
    <row r="2" spans="1:17" ht="15" customHeight="1" thickBot="1" x14ac:dyDescent="0.45">
      <c r="A2" s="118"/>
      <c r="B2" s="118"/>
      <c r="C2" s="118"/>
      <c r="D2" s="118"/>
      <c r="E2" s="118"/>
      <c r="F2" s="118"/>
      <c r="G2" s="118"/>
      <c r="H2" s="118"/>
      <c r="I2" s="118"/>
      <c r="J2" s="118"/>
      <c r="K2" s="118"/>
      <c r="L2" s="119"/>
      <c r="M2" s="436" t="s">
        <v>412</v>
      </c>
      <c r="N2" s="437"/>
      <c r="O2" s="431" t="str">
        <f>'Inquiry Form'!I2</f>
        <v>SalAG1XXX</v>
      </c>
      <c r="P2" s="431"/>
      <c r="Q2" s="431"/>
    </row>
    <row r="3" spans="1:17" ht="14.25" customHeight="1" thickBot="1" x14ac:dyDescent="0.3">
      <c r="A3" s="120"/>
      <c r="B3" s="427"/>
      <c r="C3" s="427"/>
      <c r="D3" s="427"/>
      <c r="E3" s="427"/>
      <c r="F3" s="121"/>
      <c r="G3" s="362" t="s">
        <v>6</v>
      </c>
      <c r="H3" s="363"/>
      <c r="I3" s="364"/>
      <c r="J3" s="122"/>
      <c r="K3" s="122"/>
      <c r="L3" s="123"/>
      <c r="M3" s="124" t="s">
        <v>408</v>
      </c>
      <c r="N3" s="125">
        <f>'Inquiry Form'!H3</f>
        <v>0</v>
      </c>
      <c r="O3" s="124" t="s">
        <v>409</v>
      </c>
      <c r="P3" s="432">
        <f>'Inquiry Form'!J3</f>
        <v>44274</v>
      </c>
      <c r="Q3" s="432"/>
    </row>
    <row r="4" spans="1:17" ht="17.25" customHeight="1" thickBot="1" x14ac:dyDescent="0.3">
      <c r="B4" s="127"/>
      <c r="C4" s="127"/>
      <c r="D4" s="127"/>
      <c r="E4" s="343"/>
      <c r="F4" s="128"/>
      <c r="G4" s="132" t="s">
        <v>6</v>
      </c>
      <c r="H4" s="133">
        <f>'Inquiry Form'!E21+'Inquiry Form'!E22</f>
        <v>35</v>
      </c>
      <c r="I4" s="134" t="s">
        <v>0</v>
      </c>
      <c r="J4" s="129"/>
    </row>
    <row r="5" spans="1:17" ht="17.25" customHeight="1" thickBot="1" x14ac:dyDescent="0.3">
      <c r="B5" s="127"/>
      <c r="C5" s="127"/>
      <c r="D5" s="130"/>
      <c r="E5" s="127"/>
      <c r="F5" s="131"/>
      <c r="G5" s="365"/>
      <c r="J5" s="131"/>
      <c r="O5" s="135"/>
      <c r="P5" s="136" t="s">
        <v>96</v>
      </c>
      <c r="Q5" s="137"/>
    </row>
    <row r="6" spans="1:17" ht="17.25" customHeight="1" thickBot="1" x14ac:dyDescent="0.3">
      <c r="B6" s="127"/>
      <c r="C6" s="127"/>
      <c r="D6" s="127"/>
      <c r="E6" s="127"/>
      <c r="F6" s="131"/>
      <c r="G6" s="131"/>
      <c r="I6" s="121"/>
      <c r="J6" s="121"/>
      <c r="K6" s="121"/>
      <c r="M6" s="131"/>
      <c r="N6" s="131"/>
      <c r="O6" s="131"/>
      <c r="P6" s="131"/>
      <c r="Q6" s="131"/>
    </row>
    <row r="7" spans="1:17" ht="14.25" customHeight="1" thickBot="1" x14ac:dyDescent="0.3">
      <c r="B7" s="131"/>
      <c r="C7" s="131"/>
      <c r="D7" s="131"/>
      <c r="E7" s="131"/>
      <c r="F7" s="131"/>
      <c r="G7" s="131"/>
      <c r="H7" s="423"/>
      <c r="I7" s="423"/>
      <c r="J7" s="423"/>
      <c r="M7" s="411" t="s">
        <v>16</v>
      </c>
      <c r="N7" s="412"/>
      <c r="O7" s="413"/>
      <c r="P7" s="131"/>
      <c r="Q7" s="131"/>
    </row>
    <row r="8" spans="1:17" ht="14.25" customHeight="1" thickBot="1" x14ac:dyDescent="0.3">
      <c r="B8" s="131"/>
      <c r="C8" s="131"/>
      <c r="D8" s="131"/>
      <c r="E8" s="131"/>
      <c r="F8" s="131"/>
      <c r="G8" s="131"/>
      <c r="H8" s="121"/>
      <c r="I8" s="121"/>
      <c r="J8" s="121"/>
      <c r="K8" s="121"/>
      <c r="M8" s="132" t="s">
        <v>12</v>
      </c>
      <c r="N8" s="138">
        <f>IF(Berechnungen!F57=1,Berechnungen!D9,"XXXX")</f>
        <v>5.4000000000000012</v>
      </c>
      <c r="O8" s="139" t="str">
        <f>IF(Units!B7=TRUE,"m³/h","gpm")</f>
        <v>m³/h</v>
      </c>
      <c r="P8" s="131"/>
      <c r="Q8" s="131"/>
    </row>
    <row r="9" spans="1:17" ht="14.25" customHeight="1" thickBot="1" x14ac:dyDescent="0.3">
      <c r="B9" s="411" t="s">
        <v>14</v>
      </c>
      <c r="C9" s="412"/>
      <c r="D9" s="412"/>
      <c r="E9" s="424"/>
      <c r="F9" s="131"/>
      <c r="G9" s="131"/>
      <c r="H9" s="131"/>
      <c r="I9" s="131"/>
      <c r="J9" s="131"/>
      <c r="K9" s="131"/>
      <c r="P9" s="131"/>
      <c r="Q9" s="131"/>
    </row>
    <row r="10" spans="1:17" ht="14.25" customHeight="1" thickBot="1" x14ac:dyDescent="0.3">
      <c r="B10" s="425" t="s">
        <v>12</v>
      </c>
      <c r="C10" s="426"/>
      <c r="D10" s="140">
        <f>IF(Berechnungen!F57=1,Berechnungen!D24,"XXXX")</f>
        <v>15.428571428571432</v>
      </c>
      <c r="E10" s="141" t="str">
        <f>IF(Units!B7=TRUE,"m³/h","gpm")</f>
        <v>m³/h</v>
      </c>
      <c r="F10" s="131"/>
      <c r="G10" s="131"/>
      <c r="H10" s="131"/>
      <c r="I10" s="131"/>
      <c r="J10" s="131"/>
      <c r="K10" s="131"/>
      <c r="M10" s="428" t="s">
        <v>128</v>
      </c>
      <c r="N10" s="429"/>
      <c r="O10" s="429"/>
      <c r="P10" s="429"/>
      <c r="Q10" s="430"/>
    </row>
    <row r="11" spans="1:17" ht="14.25" customHeight="1" thickBot="1" x14ac:dyDescent="0.3">
      <c r="B11" s="409" t="s">
        <v>13</v>
      </c>
      <c r="C11" s="410"/>
      <c r="D11" s="142">
        <f>'Inquiry Form'!E14</f>
        <v>55</v>
      </c>
      <c r="E11" s="143" t="str">
        <f>IF(Units!B4=TRUE,"bar","psi")</f>
        <v>bar</v>
      </c>
      <c r="F11" s="131"/>
      <c r="G11" s="131"/>
      <c r="H11" s="131"/>
      <c r="I11" s="131"/>
      <c r="J11" s="131"/>
      <c r="K11" s="131"/>
      <c r="M11" s="3" t="s">
        <v>20</v>
      </c>
      <c r="N11" s="144"/>
      <c r="O11" s="144"/>
      <c r="P11" s="145">
        <f>Berechnungen!I51</f>
        <v>3.8442176870748304</v>
      </c>
      <c r="Q11" s="146" t="str">
        <f>IF(Units!B4=TRUE,"bar","psi")</f>
        <v>bar</v>
      </c>
    </row>
    <row r="12" spans="1:17" ht="14.25" customHeight="1" x14ac:dyDescent="0.25">
      <c r="B12" s="147"/>
      <c r="C12" s="147"/>
      <c r="D12" s="121"/>
      <c r="E12" s="144"/>
      <c r="F12" s="131"/>
      <c r="G12" s="131"/>
      <c r="H12" s="131"/>
      <c r="I12" s="131"/>
      <c r="J12" s="131"/>
      <c r="K12" s="131"/>
      <c r="M12" s="3" t="s">
        <v>21</v>
      </c>
      <c r="N12" s="144"/>
      <c r="O12" s="144"/>
      <c r="P12" s="148">
        <f>ROUND(IF(Units!B4=TRUE,Berechnungen!D72,Berechnungen!D72*Units!E4),1)</f>
        <v>20</v>
      </c>
      <c r="Q12" s="146" t="str">
        <f>IF(Units!B4=TRUE,"bar","psi")</f>
        <v>bar</v>
      </c>
    </row>
    <row r="13" spans="1:17" ht="15.75" customHeight="1" thickBot="1" x14ac:dyDescent="0.3">
      <c r="B13" s="144"/>
      <c r="C13" s="144"/>
      <c r="D13" s="144"/>
      <c r="E13" s="131"/>
      <c r="F13" s="131"/>
      <c r="G13" s="131"/>
      <c r="H13" s="131"/>
      <c r="I13" s="131"/>
      <c r="J13" s="131"/>
      <c r="K13" s="131"/>
      <c r="M13" s="3" t="s">
        <v>22</v>
      </c>
      <c r="N13" s="144"/>
      <c r="O13" s="144"/>
      <c r="P13" s="26">
        <v>80</v>
      </c>
      <c r="Q13" s="146" t="str">
        <f>IF(Units!B4=TRUE,"bar","psi")</f>
        <v>bar</v>
      </c>
    </row>
    <row r="14" spans="1:17" ht="14.25" customHeight="1" thickBot="1" x14ac:dyDescent="0.3">
      <c r="B14" s="144"/>
      <c r="C14" s="144"/>
      <c r="D14" s="144"/>
      <c r="E14" s="131"/>
      <c r="F14" s="131"/>
      <c r="G14" s="411" t="s">
        <v>18</v>
      </c>
      <c r="H14" s="412"/>
      <c r="I14" s="413"/>
      <c r="J14" s="131"/>
      <c r="K14" s="131"/>
      <c r="M14" s="3" t="s">
        <v>23</v>
      </c>
      <c r="N14" s="144"/>
      <c r="O14" s="144"/>
      <c r="P14" s="148">
        <f>ROUND(IF(Units!B4=TRUE,Berechnungen!D77,Berechnungen!D77*Units!E4),1)</f>
        <v>2.5</v>
      </c>
      <c r="Q14" s="146" t="str">
        <f>IF(Units!B4=TRUE,"bar","psi")</f>
        <v>bar</v>
      </c>
    </row>
    <row r="15" spans="1:17" ht="14.25" customHeight="1" x14ac:dyDescent="0.25">
      <c r="B15" s="131"/>
      <c r="C15" s="131"/>
      <c r="D15" s="131"/>
      <c r="E15" s="131"/>
      <c r="F15" s="131"/>
      <c r="G15" s="3" t="s">
        <v>12</v>
      </c>
      <c r="H15" s="149">
        <f>IF(Berechnungen!F57=1,Berechnungen!D25,"XXXX")</f>
        <v>10.028571428571432</v>
      </c>
      <c r="I15" s="141" t="str">
        <f>IF(Units!B7=TRUE,"m³/h","gpm")</f>
        <v>m³/h</v>
      </c>
      <c r="J15" s="131"/>
      <c r="K15" s="131"/>
      <c r="M15" s="3" t="s">
        <v>24</v>
      </c>
      <c r="N15" s="144"/>
      <c r="O15" s="144"/>
      <c r="P15" s="144">
        <f>ROUND(IF(Units!B10=TRUE,Berechnungen!D81,Berechnungen!D81*1.8+32),1)</f>
        <v>50</v>
      </c>
      <c r="Q15" s="146" t="str">
        <f>IF(Units!B10=TRUE,"°C","°F")</f>
        <v>°C</v>
      </c>
    </row>
    <row r="16" spans="1:17" ht="14.25" customHeight="1" thickBot="1" x14ac:dyDescent="0.3">
      <c r="B16" s="131"/>
      <c r="C16" s="131"/>
      <c r="D16" s="131"/>
      <c r="E16" s="131"/>
      <c r="F16" s="131"/>
      <c r="G16" s="150" t="s">
        <v>13</v>
      </c>
      <c r="H16" s="151">
        <f>Berechnungen!D32</f>
        <v>54</v>
      </c>
      <c r="I16" s="143" t="str">
        <f>IF(Units!B4=TRUE,"bar","psi")</f>
        <v>bar</v>
      </c>
      <c r="J16" s="131"/>
      <c r="K16" s="131"/>
      <c r="M16" s="152" t="s">
        <v>26</v>
      </c>
      <c r="N16" s="144"/>
      <c r="O16" s="144"/>
      <c r="P16" s="147">
        <f>Berechnungen!D82</f>
        <v>600</v>
      </c>
      <c r="Q16" s="153" t="s">
        <v>2</v>
      </c>
    </row>
    <row r="17" spans="2:23" ht="14.25" customHeight="1" thickBot="1" x14ac:dyDescent="0.3">
      <c r="B17" s="131"/>
      <c r="C17" s="131"/>
      <c r="D17" s="131"/>
      <c r="E17" s="131"/>
      <c r="F17" s="131"/>
      <c r="G17" s="131"/>
      <c r="H17" s="131"/>
      <c r="I17" s="131"/>
      <c r="J17" s="131"/>
      <c r="K17" s="131"/>
      <c r="M17" s="152" t="s">
        <v>95</v>
      </c>
      <c r="N17" s="144"/>
      <c r="O17" s="144"/>
      <c r="P17" s="147">
        <f>Berechnungen!D83</f>
        <v>1750</v>
      </c>
      <c r="Q17" s="153" t="s">
        <v>2</v>
      </c>
    </row>
    <row r="18" spans="2:23" ht="14.25" customHeight="1" thickBot="1" x14ac:dyDescent="0.3">
      <c r="B18" s="131"/>
      <c r="C18" s="131"/>
      <c r="D18" s="131"/>
      <c r="E18" s="131"/>
      <c r="F18" s="131"/>
      <c r="G18" s="131"/>
      <c r="H18" s="131"/>
      <c r="I18" s="131"/>
      <c r="J18" s="131"/>
      <c r="K18" s="131"/>
      <c r="M18" s="414" t="s">
        <v>27</v>
      </c>
      <c r="N18" s="415"/>
      <c r="O18" s="415"/>
      <c r="P18" s="415"/>
      <c r="Q18" s="416"/>
    </row>
    <row r="19" spans="2:23" ht="14.25" customHeight="1" x14ac:dyDescent="0.25">
      <c r="B19" s="131"/>
      <c r="C19" s="131"/>
      <c r="D19" s="131"/>
      <c r="E19" s="131"/>
      <c r="F19" s="131"/>
      <c r="G19" s="131"/>
      <c r="K19" s="131"/>
      <c r="M19" s="417" t="s">
        <v>28</v>
      </c>
      <c r="N19" s="418"/>
      <c r="O19" s="121"/>
      <c r="P19" s="154">
        <f>'Inquiry Form'!E16*24</f>
        <v>129.60000000000002</v>
      </c>
      <c r="Q19" s="141" t="str">
        <f>IF(Units!B7=TRUE,"m³/day","gpm")</f>
        <v>m³/day</v>
      </c>
    </row>
    <row r="20" spans="2:23" ht="14.25" customHeight="1" x14ac:dyDescent="0.25">
      <c r="B20" s="131"/>
      <c r="C20" s="131"/>
      <c r="D20" s="131"/>
      <c r="E20" s="131"/>
      <c r="F20" s="131"/>
      <c r="G20" s="131"/>
      <c r="K20" s="131"/>
      <c r="M20" s="152" t="s">
        <v>29</v>
      </c>
      <c r="N20" s="121"/>
      <c r="O20" s="121"/>
      <c r="P20" s="154">
        <f>'Inquiry Form'!E15</f>
        <v>1</v>
      </c>
      <c r="Q20" s="146" t="str">
        <f>IF(Units!B4=TRUE,"bar","psi")</f>
        <v>bar</v>
      </c>
    </row>
    <row r="21" spans="2:23" ht="15.75" customHeight="1" thickBot="1" x14ac:dyDescent="0.3">
      <c r="B21" s="155"/>
      <c r="C21" s="155"/>
      <c r="D21" s="155"/>
      <c r="E21" s="131"/>
      <c r="F21" s="131"/>
      <c r="G21" s="131"/>
      <c r="H21" s="131"/>
      <c r="I21" s="131"/>
      <c r="J21" s="131"/>
      <c r="K21" s="131"/>
      <c r="M21" s="152" t="s">
        <v>205</v>
      </c>
      <c r="N21" s="120"/>
      <c r="O21" s="120"/>
      <c r="P21" s="419" t="s">
        <v>175</v>
      </c>
      <c r="Q21" s="420"/>
      <c r="T21" s="108" t="s">
        <v>413</v>
      </c>
    </row>
    <row r="22" spans="2:23" ht="14.25" customHeight="1" thickBot="1" x14ac:dyDescent="0.3">
      <c r="B22" s="411" t="s">
        <v>106</v>
      </c>
      <c r="C22" s="412"/>
      <c r="D22" s="412"/>
      <c r="E22" s="413"/>
      <c r="F22" s="131"/>
      <c r="G22" s="411" t="s">
        <v>17</v>
      </c>
      <c r="H22" s="412"/>
      <c r="I22" s="413"/>
      <c r="J22" s="131"/>
      <c r="K22" s="131"/>
      <c r="M22" s="152" t="s">
        <v>37</v>
      </c>
      <c r="N22" s="121"/>
      <c r="O22" s="121"/>
      <c r="P22" s="154">
        <v>91.2</v>
      </c>
      <c r="Q22" s="156" t="s">
        <v>0</v>
      </c>
      <c r="T22" s="108" t="s">
        <v>414</v>
      </c>
      <c r="U22" s="117">
        <f>'Inquiry Form'!E26</f>
        <v>400</v>
      </c>
      <c r="V22" s="108" t="s">
        <v>415</v>
      </c>
    </row>
    <row r="23" spans="2:23" ht="14.25" customHeight="1" x14ac:dyDescent="0.25">
      <c r="B23" s="440" t="s">
        <v>12</v>
      </c>
      <c r="C23" s="441"/>
      <c r="D23" s="149">
        <f>IF(Berechnungen!F57=1,Berechnungen!D26,"XXXX")</f>
        <v>16.036071428571432</v>
      </c>
      <c r="E23" s="141" t="str">
        <f>IF(Units!B7=TRUE,"m³/h","gpm")</f>
        <v>m³/h</v>
      </c>
      <c r="F23" s="131"/>
      <c r="G23" s="3" t="s">
        <v>12</v>
      </c>
      <c r="H23" s="149">
        <f>IF(Berechnungen!F57=1,Berechnungen!D27,"XXXX")</f>
        <v>9.5020714285714316</v>
      </c>
      <c r="I23" s="141" t="str">
        <f>IF(Units!B7=TRUE,"m³/h","gpm")</f>
        <v>m³/h</v>
      </c>
      <c r="J23" s="131"/>
      <c r="K23" s="131"/>
      <c r="M23" s="157" t="s">
        <v>219</v>
      </c>
      <c r="N23" s="120"/>
      <c r="O23" s="120"/>
      <c r="P23" s="442" t="s">
        <v>173</v>
      </c>
      <c r="Q23" s="420"/>
      <c r="T23" s="108" t="s">
        <v>416</v>
      </c>
      <c r="U23" s="107">
        <f>'Inquiry Form'!E27</f>
        <v>50</v>
      </c>
      <c r="V23" s="108" t="s">
        <v>417</v>
      </c>
    </row>
    <row r="24" spans="2:23" ht="14.25" customHeight="1" thickBot="1" x14ac:dyDescent="0.3">
      <c r="B24" s="409" t="s">
        <v>427</v>
      </c>
      <c r="C24" s="410"/>
      <c r="D24" s="45">
        <f>P11</f>
        <v>3.8442176870748304</v>
      </c>
      <c r="E24" s="146" t="str">
        <f>IF(Units!B4=TRUE,"bar","psi")</f>
        <v>bar</v>
      </c>
      <c r="F24" s="131"/>
      <c r="G24" s="150" t="s">
        <v>13</v>
      </c>
      <c r="H24" s="32">
        <v>3</v>
      </c>
      <c r="I24" s="143" t="str">
        <f>IF(Units!B4=TRUE,"bar","psi")</f>
        <v>bar</v>
      </c>
      <c r="J24" s="131"/>
      <c r="K24" s="131"/>
      <c r="M24" s="152" t="s">
        <v>36</v>
      </c>
      <c r="N24" s="121"/>
      <c r="O24" s="121"/>
      <c r="P24" s="154">
        <v>98</v>
      </c>
      <c r="Q24" s="153" t="s">
        <v>0</v>
      </c>
      <c r="T24" s="108" t="s">
        <v>421</v>
      </c>
      <c r="U24" s="333">
        <f>VLOOKUP('Inquiry Form'!$E$17,Overview_Salino_cleaned!$A$12:$CA$23,Overview_Salino_cleaned!$AS$11,FALSE)*(P13/80)</f>
        <v>0.12</v>
      </c>
      <c r="V24" s="108"/>
    </row>
    <row r="25" spans="2:23" ht="14.25" customHeight="1" thickBot="1" x14ac:dyDescent="0.3">
      <c r="B25" s="158"/>
      <c r="C25" s="158"/>
      <c r="D25" s="158"/>
      <c r="E25" s="159"/>
      <c r="F25" s="131"/>
      <c r="G25" s="126"/>
      <c r="J25" s="131"/>
      <c r="K25" s="131"/>
      <c r="M25" s="428" t="s">
        <v>103</v>
      </c>
      <c r="N25" s="429"/>
      <c r="O25" s="429"/>
      <c r="P25" s="429"/>
      <c r="Q25" s="430"/>
      <c r="T25" s="108" t="s">
        <v>422</v>
      </c>
      <c r="U25" s="333">
        <v>0.55000000000000004</v>
      </c>
    </row>
    <row r="26" spans="2:23" ht="15.75" customHeight="1" x14ac:dyDescent="0.25">
      <c r="B26" s="144"/>
      <c r="C26" s="144"/>
      <c r="D26" s="144"/>
      <c r="E26" s="131"/>
      <c r="F26" s="131"/>
      <c r="G26" s="126"/>
      <c r="J26" s="131"/>
      <c r="K26" s="131"/>
      <c r="M26" s="160" t="s">
        <v>303</v>
      </c>
      <c r="N26" s="161"/>
      <c r="O26" s="161"/>
      <c r="P26" s="159">
        <f>Berechnungen!J8</f>
        <v>97</v>
      </c>
      <c r="Q26" s="162" t="s">
        <v>0</v>
      </c>
      <c r="T26" s="108" t="s">
        <v>423</v>
      </c>
      <c r="U26" s="109">
        <v>1.2</v>
      </c>
    </row>
    <row r="27" spans="2:23" ht="14.25" customHeight="1" x14ac:dyDescent="0.25">
      <c r="B27" s="144"/>
      <c r="C27" s="144"/>
      <c r="D27" s="144"/>
      <c r="E27" s="131"/>
      <c r="F27" s="131"/>
      <c r="G27" s="126"/>
      <c r="J27" s="131"/>
      <c r="K27" s="131"/>
      <c r="M27" s="163" t="s">
        <v>122</v>
      </c>
      <c r="N27" s="164"/>
      <c r="O27" s="164"/>
      <c r="P27" s="33">
        <f>IF(Berechnungen!F57=1,Berechnungen!G54,"XXXX")</f>
        <v>1</v>
      </c>
      <c r="Q27" s="165"/>
    </row>
    <row r="28" spans="2:23" ht="14.25" customHeight="1" thickBot="1" x14ac:dyDescent="0.3">
      <c r="B28" s="131"/>
      <c r="C28" s="131"/>
      <c r="D28" s="131"/>
      <c r="E28" s="131"/>
      <c r="F28" s="131"/>
      <c r="G28" s="131"/>
      <c r="H28" s="131"/>
      <c r="I28" s="131"/>
      <c r="J28" s="131"/>
      <c r="K28" s="131"/>
      <c r="L28" s="120"/>
      <c r="M28" s="3" t="s">
        <v>70</v>
      </c>
      <c r="N28" s="121"/>
      <c r="O28" s="121"/>
      <c r="P28" s="166">
        <f>Berechnungen!D30</f>
        <v>1142.8571428571433</v>
      </c>
      <c r="Q28" s="153" t="s">
        <v>2</v>
      </c>
      <c r="T28" s="108" t="s">
        <v>426</v>
      </c>
    </row>
    <row r="29" spans="2:23" ht="14.25" customHeight="1" thickBot="1" x14ac:dyDescent="0.3">
      <c r="B29" s="411" t="str">
        <f>'Inquiry Form'!E7</f>
        <v>sea water</v>
      </c>
      <c r="C29" s="412"/>
      <c r="D29" s="412"/>
      <c r="E29" s="413"/>
      <c r="F29" s="131"/>
      <c r="G29" s="411" t="str">
        <f>M30</f>
        <v>Total Lubrication Flow</v>
      </c>
      <c r="H29" s="412"/>
      <c r="I29" s="413"/>
      <c r="J29" s="131"/>
      <c r="K29" s="131"/>
      <c r="L29" s="120"/>
      <c r="M29" s="3" t="s">
        <v>104</v>
      </c>
      <c r="N29" s="121"/>
      <c r="O29" s="121"/>
      <c r="P29" s="167">
        <f>IF(Berechnungen!F57=1,Berechnungen!D35,"XXXX")</f>
        <v>13.093302857142861</v>
      </c>
      <c r="Q29" s="153" t="s">
        <v>3</v>
      </c>
      <c r="T29" s="115" t="s">
        <v>418</v>
      </c>
      <c r="U29" s="116">
        <v>6</v>
      </c>
      <c r="V29" s="116">
        <v>4</v>
      </c>
      <c r="W29" s="112"/>
    </row>
    <row r="30" spans="2:23" ht="14.25" customHeight="1" thickBot="1" x14ac:dyDescent="0.3">
      <c r="B30" s="440" t="s">
        <v>15</v>
      </c>
      <c r="C30" s="441"/>
      <c r="D30" s="168">
        <f>'Inquiry Form'!E9</f>
        <v>38000</v>
      </c>
      <c r="E30" s="169" t="s">
        <v>1</v>
      </c>
      <c r="F30" s="131"/>
      <c r="G30" s="3" t="s">
        <v>12</v>
      </c>
      <c r="H30" s="149">
        <f>P30</f>
        <v>1.1340000000000003</v>
      </c>
      <c r="I30" s="141" t="str">
        <f>Q30</f>
        <v>m³/h</v>
      </c>
      <c r="J30" s="131"/>
      <c r="K30" s="131"/>
      <c r="L30" s="120"/>
      <c r="M30" s="150" t="s">
        <v>99</v>
      </c>
      <c r="N30" s="155"/>
      <c r="O30" s="155"/>
      <c r="P30" s="170">
        <f>IF(Berechnungen!F57=1,Berechnungen!D28,"XXXX")</f>
        <v>1.1340000000000003</v>
      </c>
      <c r="Q30" s="143" t="str">
        <f>IF(Units!B7=TRUE,"m³/h","gpm")</f>
        <v>m³/h</v>
      </c>
      <c r="T30" s="110" t="s">
        <v>419</v>
      </c>
      <c r="U30" s="113">
        <f>V30/U29*V29</f>
        <v>986.66666666666663</v>
      </c>
      <c r="V30" s="111">
        <f>1480/50*U23</f>
        <v>1480</v>
      </c>
      <c r="W30" s="110" t="s">
        <v>420</v>
      </c>
    </row>
    <row r="31" spans="2:23" ht="15.75" customHeight="1" thickBot="1" x14ac:dyDescent="0.3">
      <c r="B31" s="409" t="s">
        <v>19</v>
      </c>
      <c r="C31" s="410"/>
      <c r="D31" s="171">
        <f>'Inquiry Form'!E8</f>
        <v>20</v>
      </c>
      <c r="E31" s="143" t="str">
        <f>IF(Units!B10=TRUE,"°C","°F")</f>
        <v>°C</v>
      </c>
      <c r="F31" s="131"/>
      <c r="G31" s="150" t="s">
        <v>411</v>
      </c>
      <c r="H31" s="283">
        <f>Berechnungen!D86</f>
        <v>0.75</v>
      </c>
      <c r="I31" s="143" t="s">
        <v>116</v>
      </c>
      <c r="L31" s="120"/>
      <c r="M31" s="172" t="s">
        <v>30</v>
      </c>
      <c r="N31" s="173"/>
      <c r="O31" s="173"/>
      <c r="P31" s="173"/>
      <c r="Q31" s="174"/>
      <c r="T31" s="110" t="s">
        <v>425</v>
      </c>
      <c r="U31" s="114">
        <f>$P28/U30</f>
        <v>1.1583011583011589</v>
      </c>
      <c r="V31" s="114">
        <f>$P28/V30</f>
        <v>0.77220077220077254</v>
      </c>
      <c r="W31" s="112"/>
    </row>
    <row r="32" spans="2:23" ht="14.25" customHeight="1" x14ac:dyDescent="0.25">
      <c r="B32" s="131"/>
      <c r="C32" s="131"/>
      <c r="D32" s="131"/>
      <c r="E32" s="131"/>
      <c r="F32" s="131"/>
      <c r="G32" s="126"/>
      <c r="L32" s="175"/>
      <c r="M32" s="160" t="s">
        <v>38</v>
      </c>
      <c r="N32" s="176"/>
      <c r="O32" s="176"/>
      <c r="P32" s="177">
        <f>IF(Berechnungen!F57=1,Berechnungen!D37,"XXXX")</f>
        <v>11.692637160419462</v>
      </c>
      <c r="Q32" s="178" t="s">
        <v>3</v>
      </c>
      <c r="T32" s="110" t="s">
        <v>670</v>
      </c>
      <c r="U32" s="302">
        <f>IF($P28&lt;U30,($P32/$P27)/$P28*U30,($P32/$P27)/$P28*U30*(($P28/U30)^1.5))*(1+$U$24)</f>
        <v>14.094226324143213</v>
      </c>
      <c r="V32" s="302">
        <f>IF($P28&lt;V30,($P32/$P27)/$P28*V30,($P32/$P27)/$P28*V30*(($P28/V30)^1.5))*(1+$U$24)</f>
        <v>16.959000937472382</v>
      </c>
      <c r="W32" s="110" t="s">
        <v>424</v>
      </c>
    </row>
    <row r="33" spans="2:23" ht="14.25" customHeight="1" x14ac:dyDescent="0.25">
      <c r="B33" s="131"/>
      <c r="C33" s="131"/>
      <c r="D33" s="131"/>
      <c r="E33" s="131"/>
      <c r="F33" s="131"/>
      <c r="G33" s="438" t="s">
        <v>163</v>
      </c>
      <c r="H33" s="438"/>
      <c r="I33" s="438"/>
      <c r="L33" s="175"/>
      <c r="M33" s="3" t="s">
        <v>31</v>
      </c>
      <c r="N33" s="121"/>
      <c r="O33" s="121"/>
      <c r="P33" s="54">
        <v>0.11</v>
      </c>
      <c r="Q33" s="153" t="s">
        <v>9</v>
      </c>
      <c r="S33" s="310"/>
      <c r="T33" s="110" t="s">
        <v>618</v>
      </c>
      <c r="U33" s="116">
        <f t="array" ref="U33">MIN(IF('IE3 Motoren'!$A6:$A29&gt;U32,'IE3 Motoren'!$A6:$A29))</f>
        <v>15</v>
      </c>
      <c r="V33" s="116">
        <f t="array" ref="V33">MIN(IF('IE3 Motoren'!$A6:$A29&gt;V32,'IE3 Motoren'!$A6:$A29))</f>
        <v>18.5</v>
      </c>
      <c r="W33" s="110" t="s">
        <v>424</v>
      </c>
    </row>
    <row r="34" spans="2:23" ht="14.25" customHeight="1" x14ac:dyDescent="0.25">
      <c r="B34" s="126"/>
      <c r="C34" s="126"/>
      <c r="D34" s="126"/>
      <c r="E34" s="126"/>
      <c r="F34" s="126"/>
      <c r="G34" s="439" t="str">
        <f>IF(OR(D11&gt;P13,H24&lt;P14,D31&gt;P15,D11&lt;P12,P28&lt;P16,'Inquiry Form'!D21&lt;&gt;"",D31&gt;Berechnungen!D81,D31&lt;Berechnungen!D80),"Please consider Limiting Values for Operation!",IF(D30&gt;50000,"Maximum Salinity is 50000 ppm!","- none -"))</f>
        <v>- none -</v>
      </c>
      <c r="H34" s="439"/>
      <c r="I34" s="439"/>
      <c r="J34" s="179"/>
      <c r="L34" s="175"/>
      <c r="M34" s="3" t="s">
        <v>32</v>
      </c>
      <c r="N34" s="121"/>
      <c r="O34" s="121"/>
      <c r="P34" s="177">
        <f>IF(Berechnungen!F57=1,Berechnungen!D38,"XXXX")</f>
        <v>2.1653031778554555</v>
      </c>
      <c r="Q34" s="153" t="s">
        <v>109</v>
      </c>
      <c r="S34" s="310"/>
      <c r="T34" s="110" t="s">
        <v>619</v>
      </c>
      <c r="U34" s="306">
        <f>VLOOKUP(U33,'IE3 Motoren'!$A$6:$M$29,'IE3 Motoren'!$M$5,FALSE)</f>
        <v>0.91733333333333322</v>
      </c>
      <c r="V34" s="306">
        <f>VLOOKUP(V33,'IE3 Motoren'!$A$6:$M$29,'IE3 Motoren'!$M$5,FALSE)</f>
        <v>0.92233333333333345</v>
      </c>
      <c r="W34" s="112"/>
    </row>
    <row r="35" spans="2:23" ht="14.25" customHeight="1" x14ac:dyDescent="0.25">
      <c r="B35" s="126"/>
      <c r="C35" s="126"/>
      <c r="D35" s="126"/>
      <c r="E35" s="126"/>
      <c r="F35" s="126"/>
      <c r="G35" s="439"/>
      <c r="H35" s="439"/>
      <c r="I35" s="439"/>
      <c r="J35" s="180"/>
      <c r="L35" s="175"/>
      <c r="M35" s="3" t="s">
        <v>674</v>
      </c>
      <c r="N35" s="121"/>
      <c r="O35" s="121"/>
      <c r="P35" s="183">
        <f>Berechnungen!G36</f>
        <v>8000.1576000000005</v>
      </c>
      <c r="Q35" s="153" t="s">
        <v>675</v>
      </c>
      <c r="T35" s="110" t="s">
        <v>671</v>
      </c>
      <c r="U35" s="334"/>
      <c r="V35" s="111" t="str">
        <f>VLOOKUP(V33,'IE3 Motoren'!A6:B29,2,FALSE)</f>
        <v>180M-4</v>
      </c>
      <c r="W35" s="112"/>
    </row>
    <row r="36" spans="2:23" ht="14.25" customHeight="1" x14ac:dyDescent="0.25">
      <c r="B36" s="405" t="s">
        <v>164</v>
      </c>
      <c r="C36" s="405"/>
      <c r="D36" s="405"/>
      <c r="E36" s="405"/>
      <c r="F36" s="104" t="s">
        <v>392</v>
      </c>
      <c r="G36" s="181"/>
      <c r="I36" s="180"/>
      <c r="J36" s="180"/>
      <c r="K36" s="182"/>
      <c r="L36" s="175"/>
      <c r="M36" s="3" t="s">
        <v>88</v>
      </c>
      <c r="N36" s="121"/>
      <c r="O36" s="121"/>
      <c r="P36" s="183">
        <f>IF(Berechnungen!F57=1,Berechnungen!D40,"XXXX")</f>
        <v>117199.79229510513</v>
      </c>
      <c r="Q36" s="153" t="s">
        <v>94</v>
      </c>
      <c r="T36" s="110" t="s">
        <v>681</v>
      </c>
      <c r="U36" s="306">
        <f>((($P32+$P29)*9550)/$P28)/VLOOKUP('Inquiry Form'!$E$17,Overview_Salino_cleaned!$A$12:$CH$23,Overview_Salino_cleaned!$CH$11,FALSE)/P27</f>
        <v>0.34189090668827188</v>
      </c>
      <c r="V36" s="306">
        <f>((($P32+$P29)*9550)/$P28)/VLOOKUP('Inquiry Form'!$E$17,Overview_Salino_cleaned!$A$12:$CH$23,Overview_Salino_cleaned!$CH$11,FALSE)/P27</f>
        <v>0.34189090668827188</v>
      </c>
      <c r="W36" s="112"/>
    </row>
    <row r="37" spans="2:23" ht="14.25" customHeight="1" x14ac:dyDescent="0.25">
      <c r="B37" s="408" t="s">
        <v>428</v>
      </c>
      <c r="H37" s="406" t="s">
        <v>429</v>
      </c>
      <c r="I37" s="406"/>
      <c r="J37" s="182"/>
      <c r="K37" s="182"/>
      <c r="L37" s="175"/>
      <c r="M37" s="3" t="s">
        <v>125</v>
      </c>
      <c r="N37" s="121"/>
      <c r="O37" s="121"/>
      <c r="P37" s="183">
        <f>IF(Berechnungen!F57=1,Berechnungen!D41,"XXXX")</f>
        <v>70.905874338538595</v>
      </c>
      <c r="Q37" s="153" t="s">
        <v>35</v>
      </c>
    </row>
    <row r="38" spans="2:23" ht="14.4" customHeight="1" thickBot="1" x14ac:dyDescent="0.3">
      <c r="H38" s="407" t="s">
        <v>410</v>
      </c>
      <c r="I38" s="407"/>
      <c r="J38" s="433" t="s">
        <v>683</v>
      </c>
      <c r="K38" s="434"/>
      <c r="L38" s="435"/>
      <c r="M38" s="184" t="s">
        <v>34</v>
      </c>
      <c r="N38" s="155"/>
      <c r="O38" s="155"/>
      <c r="P38" s="185">
        <f>IF(Berechnungen!F57=1,Berechnungen!D42,"XXXX")</f>
        <v>12891.977152461564</v>
      </c>
      <c r="Q38" s="186" t="s">
        <v>11</v>
      </c>
    </row>
    <row r="39" spans="2:23" ht="14.25" hidden="1" customHeight="1" x14ac:dyDescent="0.25"/>
    <row r="40" spans="2:23" ht="12.75" hidden="1" customHeight="1" x14ac:dyDescent="0.25"/>
    <row r="41" spans="2:23" ht="12.75" hidden="1" customHeight="1" x14ac:dyDescent="0.25"/>
    <row r="42" spans="2:23" ht="12.75" hidden="1" customHeight="1" x14ac:dyDescent="0.25"/>
    <row r="43" spans="2:23" ht="12.75" hidden="1" customHeight="1" x14ac:dyDescent="0.25"/>
    <row r="44" spans="2:23" ht="12.75" hidden="1" customHeight="1" x14ac:dyDescent="0.25"/>
    <row r="45" spans="2:23" ht="12.75" hidden="1" customHeight="1" x14ac:dyDescent="0.25"/>
  </sheetData>
  <sheetProtection algorithmName="SHA-512" hashValue="s7/9nXnmhCehFNvfNmspP7rr1CecyMPsAJufFavTw/QyjJ2jvtWp0pV788TJtv8IU3zJxaKqYg9RnleygJbh0g==" saltValue="a+GLTF7RcMUb7bMqXxSC4Q==" spinCount="100000" sheet="1" objects="1" scenarios="1" selectLockedCells="1"/>
  <customSheetViews>
    <customSheetView guid="{CA5DEE9B-8C07-4C66-8968-31FD351A4FB5}" scale="90" showPageBreaks="1" showGridLines="0" hiddenRows="1" hiddenColumns="1" view="pageLayout">
      <selection activeCell="P22" sqref="P22"/>
      <pageMargins left="0.19685039370078741" right="0.15625" top="0.11811023622047245" bottom="0.11811023622047245" header="0.31496062992125984" footer="0.31496062992125984"/>
      <pageSetup paperSize="9" orientation="landscape" r:id="rId1"/>
    </customSheetView>
  </customSheetViews>
  <mergeCells count="32">
    <mergeCell ref="J38:L38"/>
    <mergeCell ref="G29:I29"/>
    <mergeCell ref="M2:N2"/>
    <mergeCell ref="B37:G1048576"/>
    <mergeCell ref="G33:I33"/>
    <mergeCell ref="G34:I35"/>
    <mergeCell ref="H38:I38"/>
    <mergeCell ref="B36:E36"/>
    <mergeCell ref="B23:C23"/>
    <mergeCell ref="M25:Q25"/>
    <mergeCell ref="B24:C24"/>
    <mergeCell ref="G22:I22"/>
    <mergeCell ref="B29:E29"/>
    <mergeCell ref="B30:C30"/>
    <mergeCell ref="B31:C31"/>
    <mergeCell ref="P23:Q23"/>
    <mergeCell ref="A1:Q1"/>
    <mergeCell ref="H7:J7"/>
    <mergeCell ref="B9:E9"/>
    <mergeCell ref="B10:C10"/>
    <mergeCell ref="B3:E3"/>
    <mergeCell ref="M7:O7"/>
    <mergeCell ref="M10:Q10"/>
    <mergeCell ref="O2:Q2"/>
    <mergeCell ref="P3:Q3"/>
    <mergeCell ref="H37:I37"/>
    <mergeCell ref="B11:C11"/>
    <mergeCell ref="G14:I14"/>
    <mergeCell ref="B22:E22"/>
    <mergeCell ref="M18:Q18"/>
    <mergeCell ref="M19:N19"/>
    <mergeCell ref="P21:Q21"/>
  </mergeCells>
  <conditionalFormatting sqref="U31:V31">
    <cfRule type="cellIs" dxfId="1" priority="2" operator="between">
      <formula>$U$25</formula>
      <formula>$U$26</formula>
    </cfRule>
  </conditionalFormatting>
  <dataValidations count="2">
    <dataValidation allowBlank="1" showInputMessage="1" showErrorMessage="1" errorTitle="Warning" error="Recovery Rate has to be between 25% and 50%." sqref="H4"/>
    <dataValidation type="list" allowBlank="1" showInputMessage="1" showErrorMessage="1" sqref="P23:Q23">
      <formula1>FU</formula1>
    </dataValidation>
  </dataValidations>
  <hyperlinks>
    <hyperlink ref="B36" r:id="rId2"/>
    <hyperlink ref="F36" r:id="rId3"/>
  </hyperlinks>
  <pageMargins left="0.19685039370078741" right="0.15625" top="0.11811023622047245" bottom="0.11811023622047245" header="0.31496062992125984" footer="0.31496062992125984"/>
  <pageSetup paperSize="9" scale="98" orientation="landscape" r:id="rId4"/>
  <drawing r:id="rId5"/>
  <extLst>
    <ext xmlns:x14="http://schemas.microsoft.com/office/spreadsheetml/2009/9/main" uri="{78C0D931-6437-407d-A8EE-F0AAD7539E65}">
      <x14:conditionalFormattings>
        <x14:conditionalFormatting xmlns:xm="http://schemas.microsoft.com/office/excel/2006/main">
          <x14:cfRule type="expression" priority="1" id="{83ACAB56-AB7E-459F-9122-8250773420DF}">
            <xm:f>'Inquiry Form'!$E$22&lt;&gt;0</xm:f>
            <x14:dxf>
              <fill>
                <patternFill>
                  <bgColor rgb="FFFF0000"/>
                </patternFill>
              </fill>
            </x14:dxf>
          </x14:cfRule>
          <xm:sqref>H4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Title="Invalid Input" error="Maximum operating pressure has to be 70bar or 80bar.">
          <x14:formula1>
            <xm:f>Berechnungen!$D$73:$D$74</xm:f>
          </x14:formula1>
          <xm:sqref>P13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J69"/>
  <sheetViews>
    <sheetView showGridLines="0" showRowColHeaders="0" showRuler="0" showWhiteSpace="0" view="pageLayout" topLeftCell="A19" zoomScaleNormal="100" workbookViewId="0">
      <selection activeCell="F7" sqref="F7:I7"/>
    </sheetView>
  </sheetViews>
  <sheetFormatPr baseColWidth="10" defaultColWidth="0" defaultRowHeight="13.2" zeroHeight="1" x14ac:dyDescent="0.25"/>
  <cols>
    <col min="1" max="1" width="7.44140625" customWidth="1"/>
    <col min="2" max="2" width="7.88671875" customWidth="1"/>
    <col min="3" max="3" width="13.88671875" customWidth="1"/>
    <col min="4" max="4" width="16.109375" customWidth="1"/>
    <col min="5" max="5" width="11.109375" customWidth="1"/>
    <col min="6" max="6" width="8.88671875" customWidth="1"/>
    <col min="7" max="7" width="8.109375" customWidth="1"/>
    <col min="8" max="9" width="11.44140625" customWidth="1"/>
    <col min="10" max="10" width="6.88671875" customWidth="1"/>
    <col min="11" max="11" width="11.44140625" hidden="1" customWidth="1"/>
    <col min="12" max="16384" width="11.44140625" hidden="1"/>
  </cols>
  <sheetData>
    <row r="1" spans="1:9" ht="5.25" customHeight="1" x14ac:dyDescent="0.25">
      <c r="A1" s="48"/>
    </row>
    <row r="2" spans="1:9" ht="5.25" customHeight="1" x14ac:dyDescent="0.25"/>
    <row r="3" spans="1:9" ht="6.75" customHeight="1" x14ac:dyDescent="0.25"/>
    <row r="4" spans="1:9" ht="14.25" customHeight="1" x14ac:dyDescent="0.3">
      <c r="E4" s="25" t="s">
        <v>132</v>
      </c>
      <c r="F4" s="35"/>
    </row>
    <row r="5" spans="1:9" ht="13.5" customHeight="1" x14ac:dyDescent="0.25">
      <c r="B5" s="43" t="s">
        <v>161</v>
      </c>
      <c r="C5" s="42">
        <f ca="1">TODAY()</f>
        <v>44275</v>
      </c>
      <c r="E5" s="24" t="s">
        <v>131</v>
      </c>
      <c r="F5" s="36"/>
    </row>
    <row r="6" spans="1:9" ht="35.25" customHeight="1" x14ac:dyDescent="0.25"/>
    <row r="7" spans="1:9" ht="24" x14ac:dyDescent="0.35">
      <c r="B7" s="39" t="s">
        <v>130</v>
      </c>
      <c r="E7" s="38" t="s">
        <v>133</v>
      </c>
      <c r="F7" s="443"/>
      <c r="G7" s="443"/>
      <c r="H7" s="443"/>
      <c r="I7" s="443"/>
    </row>
    <row r="8" spans="1:9" x14ac:dyDescent="0.25">
      <c r="B8" s="1" t="s">
        <v>152</v>
      </c>
    </row>
    <row r="9" spans="1:9" ht="22.5" customHeight="1" x14ac:dyDescent="0.25"/>
    <row r="10" spans="1:9" ht="22.5" customHeight="1" x14ac:dyDescent="0.25">
      <c r="B10" s="445" t="s">
        <v>128</v>
      </c>
      <c r="C10" s="445"/>
      <c r="D10" s="445"/>
      <c r="E10" s="445"/>
      <c r="F10" s="445"/>
      <c r="G10" s="445"/>
      <c r="H10" s="445"/>
      <c r="I10" s="445"/>
    </row>
    <row r="11" spans="1:9" ht="13.5" customHeight="1" x14ac:dyDescent="0.25"/>
    <row r="12" spans="1:9" x14ac:dyDescent="0.25">
      <c r="D12" s="31" t="s">
        <v>156</v>
      </c>
      <c r="E12" s="27" t="e">
        <f>IF(Units!B4=TRUE,Berechnungen!#REF!,Berechnungen!#REF!*Units!E4)</f>
        <v>#REF!</v>
      </c>
      <c r="F12" s="30" t="str">
        <f>IF(Units!B4=TRUE,"bar","psi")</f>
        <v>bar</v>
      </c>
    </row>
    <row r="13" spans="1:9" ht="6" customHeight="1" x14ac:dyDescent="0.25">
      <c r="D13" s="31"/>
      <c r="E13" s="28"/>
      <c r="F13" s="1"/>
    </row>
    <row r="14" spans="1:9" x14ac:dyDescent="0.25">
      <c r="D14" s="31" t="s">
        <v>157</v>
      </c>
      <c r="E14" s="22">
        <f>IF(Units!B4=TRUE,30,30*Units!E4)</f>
        <v>30</v>
      </c>
      <c r="F14" s="30" t="str">
        <f>IF(Units!B4=TRUE,"bar","psi")</f>
        <v>bar</v>
      </c>
    </row>
    <row r="15" spans="1:9" ht="6" customHeight="1" x14ac:dyDescent="0.25">
      <c r="D15" s="31"/>
      <c r="E15" s="28"/>
    </row>
    <row r="16" spans="1:9" ht="14.25" customHeight="1" x14ac:dyDescent="0.25">
      <c r="D16" s="31" t="s">
        <v>158</v>
      </c>
      <c r="E16" s="28">
        <f>'Design Tool'!P13</f>
        <v>80</v>
      </c>
      <c r="F16" s="30" t="str">
        <f>IF(Units!B4=TRUE,"bar","psi")</f>
        <v>bar</v>
      </c>
    </row>
    <row r="17" spans="2:9" ht="6" customHeight="1" x14ac:dyDescent="0.25">
      <c r="D17" s="31"/>
      <c r="E17" s="28"/>
    </row>
    <row r="18" spans="2:9" ht="14.25" customHeight="1" x14ac:dyDescent="0.25">
      <c r="D18" s="33" t="s">
        <v>159</v>
      </c>
      <c r="E18" s="22">
        <f>IF(Units!B4=TRUE,2,2*Units!E4)</f>
        <v>2</v>
      </c>
      <c r="F18" s="30" t="str">
        <f>IF(Units!B4=TRUE,"bar","psi")</f>
        <v>bar</v>
      </c>
    </row>
    <row r="19" spans="2:9" ht="6" customHeight="1" x14ac:dyDescent="0.25">
      <c r="D19" s="33"/>
    </row>
    <row r="20" spans="2:9" ht="14.25" customHeight="1" x14ac:dyDescent="0.25">
      <c r="D20" s="31" t="s">
        <v>160</v>
      </c>
      <c r="E20" s="2">
        <f>IF(Units!B10=TRUE,50,50*1.8+32)</f>
        <v>50</v>
      </c>
      <c r="F20" s="30" t="str">
        <f>IF(Units!B10=TRUE,"°C","°F")</f>
        <v>°C</v>
      </c>
    </row>
    <row r="21" spans="2:9" ht="13.5" customHeight="1" x14ac:dyDescent="0.25"/>
    <row r="22" spans="2:9" ht="22.5" customHeight="1" x14ac:dyDescent="0.25">
      <c r="B22" s="446" t="s">
        <v>129</v>
      </c>
      <c r="C22" s="446"/>
      <c r="D22" s="446"/>
      <c r="E22" s="446"/>
      <c r="F22" s="446"/>
      <c r="G22" s="446"/>
      <c r="H22" s="446"/>
      <c r="I22" s="446"/>
    </row>
    <row r="23" spans="2:9" ht="13.5" customHeight="1" x14ac:dyDescent="0.25"/>
    <row r="24" spans="2:9" ht="14.25" customHeight="1" x14ac:dyDescent="0.25">
      <c r="D24" s="10" t="s">
        <v>135</v>
      </c>
      <c r="E24">
        <f>'Design Tool'!D30</f>
        <v>38000</v>
      </c>
      <c r="F24" s="1" t="s">
        <v>1</v>
      </c>
    </row>
    <row r="25" spans="2:9" ht="6" customHeight="1" x14ac:dyDescent="0.25">
      <c r="D25" s="34"/>
    </row>
    <row r="26" spans="2:9" ht="14.25" customHeight="1" x14ac:dyDescent="0.25">
      <c r="D26" s="10" t="s">
        <v>136</v>
      </c>
      <c r="E26" s="40">
        <f>'Design Tool'!H4</f>
        <v>35</v>
      </c>
      <c r="F26" s="1" t="s">
        <v>0</v>
      </c>
      <c r="G26" s="41"/>
    </row>
    <row r="27" spans="2:9" ht="6" customHeight="1" x14ac:dyDescent="0.25">
      <c r="D27" s="34"/>
    </row>
    <row r="28" spans="2:9" ht="14.25" customHeight="1" x14ac:dyDescent="0.25">
      <c r="D28" s="10" t="s">
        <v>153</v>
      </c>
      <c r="E28" s="47">
        <f>'Design Tool'!N8</f>
        <v>5.4000000000000012</v>
      </c>
      <c r="F28" s="30" t="str">
        <f>IF(Units!B7=TRUE,"m³/h","gpm")</f>
        <v>m³/h</v>
      </c>
    </row>
    <row r="29" spans="2:9" ht="6" customHeight="1" x14ac:dyDescent="0.25">
      <c r="D29" s="34"/>
    </row>
    <row r="30" spans="2:9" ht="14.25" customHeight="1" x14ac:dyDescent="0.25">
      <c r="D30" s="10" t="s">
        <v>137</v>
      </c>
      <c r="E30" s="28">
        <f>'Design Tool'!D11</f>
        <v>55</v>
      </c>
      <c r="F30" s="30" t="str">
        <f>IF(Units!B4=TRUE,"bar","psi")</f>
        <v>bar</v>
      </c>
    </row>
    <row r="31" spans="2:9" ht="6" customHeight="1" x14ac:dyDescent="0.25">
      <c r="B31" s="1"/>
    </row>
    <row r="32" spans="2:9" ht="14.25" customHeight="1" x14ac:dyDescent="0.25">
      <c r="D32" s="10" t="s">
        <v>138</v>
      </c>
      <c r="E32" s="40">
        <f>'Design Tool'!D31</f>
        <v>20</v>
      </c>
      <c r="F32" s="30" t="str">
        <f>IF(Units!B10=TRUE,"°C","°F")</f>
        <v>°C</v>
      </c>
    </row>
    <row r="33" spans="2:9" ht="13.5" customHeight="1" x14ac:dyDescent="0.25"/>
    <row r="34" spans="2:9" ht="22.5" customHeight="1" x14ac:dyDescent="0.25">
      <c r="B34" s="446" t="s">
        <v>154</v>
      </c>
      <c r="C34" s="446"/>
      <c r="D34" s="446"/>
      <c r="E34" s="446"/>
      <c r="F34" s="446"/>
      <c r="G34" s="446"/>
      <c r="H34" s="446"/>
      <c r="I34" s="446"/>
    </row>
    <row r="35" spans="2:9" ht="13.5" customHeight="1" x14ac:dyDescent="0.25"/>
    <row r="36" spans="2:9" ht="14.25" customHeight="1" x14ac:dyDescent="0.25">
      <c r="D36" s="31" t="s">
        <v>139</v>
      </c>
      <c r="E36" s="34">
        <f>IF(Berechnungen!F57=1,Berechnungen!G54,"XXXX")</f>
        <v>1</v>
      </c>
    </row>
    <row r="37" spans="2:9" ht="6" customHeight="1" x14ac:dyDescent="0.25">
      <c r="D37" s="34"/>
    </row>
    <row r="38" spans="2:9" ht="14.25" customHeight="1" x14ac:dyDescent="0.25">
      <c r="D38" s="10" t="s">
        <v>140</v>
      </c>
      <c r="E38" s="47">
        <f>IF(Berechnungen!F57=1,Berechnungen!D26,"XXXX")</f>
        <v>16.036071428571432</v>
      </c>
      <c r="F38" s="30" t="str">
        <f>IF(Units!B7=TRUE,"m³/h","gpm")</f>
        <v>m³/h</v>
      </c>
    </row>
    <row r="39" spans="2:9" ht="6" customHeight="1" x14ac:dyDescent="0.25">
      <c r="D39" s="34"/>
      <c r="E39" s="47"/>
    </row>
    <row r="40" spans="2:9" ht="14.25" customHeight="1" x14ac:dyDescent="0.25">
      <c r="D40" s="10" t="s">
        <v>141</v>
      </c>
      <c r="E40" s="47">
        <f>IF(Berechnungen!F57=1,Berechnungen!D27,"XXXX")</f>
        <v>9.5020714285714316</v>
      </c>
      <c r="F40" s="30" t="str">
        <f>IF(Units!B7=TRUE,"m³/h","gpm")</f>
        <v>m³/h</v>
      </c>
    </row>
    <row r="41" spans="2:9" ht="6" customHeight="1" x14ac:dyDescent="0.25">
      <c r="D41" s="34"/>
      <c r="E41" s="28"/>
    </row>
    <row r="42" spans="2:9" ht="14.25" customHeight="1" x14ac:dyDescent="0.25">
      <c r="D42" s="10" t="s">
        <v>162</v>
      </c>
      <c r="E42" s="40">
        <f>Berechnungen!D30</f>
        <v>1142.8571428571433</v>
      </c>
      <c r="F42" s="30" t="s">
        <v>2</v>
      </c>
    </row>
    <row r="43" spans="2:9" ht="6" customHeight="1" x14ac:dyDescent="0.25">
      <c r="D43" s="34"/>
    </row>
    <row r="44" spans="2:9" ht="14.25" customHeight="1" x14ac:dyDescent="0.25">
      <c r="D44" s="10" t="s">
        <v>142</v>
      </c>
      <c r="E44">
        <f>'Design Tool'!P20</f>
        <v>1</v>
      </c>
      <c r="F44" s="30" t="str">
        <f>IF(Units!B4=TRUE,"bar","psi")</f>
        <v>bar</v>
      </c>
    </row>
    <row r="45" spans="2:9" ht="6" customHeight="1" x14ac:dyDescent="0.25">
      <c r="D45" s="34"/>
    </row>
    <row r="46" spans="2:9" ht="14.25" customHeight="1" x14ac:dyDescent="0.25">
      <c r="D46" s="10" t="s">
        <v>143</v>
      </c>
      <c r="E46" s="8">
        <f>'Design Tool'!P33</f>
        <v>0.11</v>
      </c>
      <c r="F46" s="2" t="s">
        <v>9</v>
      </c>
    </row>
    <row r="47" spans="2:9" ht="13.5" customHeight="1" x14ac:dyDescent="0.25"/>
    <row r="48" spans="2:9" ht="22.5" customHeight="1" x14ac:dyDescent="0.25">
      <c r="B48" s="446" t="s">
        <v>155</v>
      </c>
      <c r="C48" s="446"/>
      <c r="D48" s="446"/>
      <c r="E48" s="446"/>
      <c r="F48" s="446"/>
      <c r="G48" s="446"/>
      <c r="H48" s="446"/>
      <c r="I48" s="446"/>
    </row>
    <row r="49" spans="4:7" ht="13.5" customHeight="1" x14ac:dyDescent="0.25"/>
    <row r="50" spans="4:7" ht="14.25" customHeight="1" x14ac:dyDescent="0.25">
      <c r="D50" s="10" t="s">
        <v>144</v>
      </c>
      <c r="E50" s="444" t="s">
        <v>134</v>
      </c>
      <c r="F50" s="444"/>
      <c r="G50" s="444"/>
    </row>
    <row r="51" spans="4:7" ht="6" customHeight="1" x14ac:dyDescent="0.25">
      <c r="D51" s="34"/>
    </row>
    <row r="52" spans="4:7" ht="14.25" customHeight="1" x14ac:dyDescent="0.25">
      <c r="D52" s="10" t="s">
        <v>145</v>
      </c>
      <c r="E52">
        <f>'Design Tool'!P22</f>
        <v>91.2</v>
      </c>
      <c r="F52" s="1" t="s">
        <v>0</v>
      </c>
    </row>
    <row r="53" spans="4:7" ht="6" customHeight="1" x14ac:dyDescent="0.25">
      <c r="D53" s="34"/>
    </row>
    <row r="54" spans="4:7" ht="14.25" customHeight="1" x14ac:dyDescent="0.25">
      <c r="D54" s="10" t="s">
        <v>146</v>
      </c>
      <c r="E54">
        <f>'Design Tool'!P24</f>
        <v>98</v>
      </c>
      <c r="F54" s="1" t="s">
        <v>0</v>
      </c>
    </row>
    <row r="55" spans="4:7" ht="6" customHeight="1" x14ac:dyDescent="0.25">
      <c r="D55" s="34"/>
    </row>
    <row r="56" spans="4:7" ht="14.25" customHeight="1" x14ac:dyDescent="0.25">
      <c r="D56" s="10" t="s">
        <v>147</v>
      </c>
      <c r="E56" s="46">
        <f>IF(Berechnungen!F57=1,Berechnungen!D37,"XXXX")</f>
        <v>11.692637160419462</v>
      </c>
      <c r="F56" s="1" t="s">
        <v>3</v>
      </c>
    </row>
    <row r="57" spans="4:7" ht="6" customHeight="1" x14ac:dyDescent="0.25">
      <c r="D57" s="34"/>
      <c r="E57" s="34"/>
    </row>
    <row r="58" spans="4:7" ht="14.25" customHeight="1" x14ac:dyDescent="0.25">
      <c r="D58" s="10" t="s">
        <v>148</v>
      </c>
      <c r="E58" s="46">
        <f>IF(Berechnungen!F57=1,Berechnungen!I37,"XXXX")</f>
        <v>15.298900907864555</v>
      </c>
      <c r="F58" s="1" t="s">
        <v>3</v>
      </c>
    </row>
    <row r="59" spans="4:7" ht="6" customHeight="1" x14ac:dyDescent="0.25">
      <c r="D59" s="34"/>
      <c r="E59" s="34"/>
    </row>
    <row r="60" spans="4:7" ht="14.25" customHeight="1" x14ac:dyDescent="0.25">
      <c r="D60" s="10" t="s">
        <v>149</v>
      </c>
      <c r="E60" s="46">
        <f>IF(Berechnungen!F57=1,Berechnungen!D38,"XXXX")</f>
        <v>2.1653031778554555</v>
      </c>
      <c r="F60" s="2" t="s">
        <v>109</v>
      </c>
    </row>
    <row r="61" spans="4:7" ht="6" customHeight="1" x14ac:dyDescent="0.25">
      <c r="D61" s="34"/>
      <c r="E61" s="34"/>
    </row>
    <row r="62" spans="4:7" ht="14.25" customHeight="1" x14ac:dyDescent="0.35">
      <c r="D62" s="10" t="s">
        <v>150</v>
      </c>
      <c r="E62" s="46">
        <f>IF(Berechnungen!F57=1,Berechnungen!D41,"XXXX")</f>
        <v>70.905874338538595</v>
      </c>
      <c r="F62" s="2" t="s">
        <v>35</v>
      </c>
    </row>
    <row r="63" spans="4:7" ht="6" customHeight="1" x14ac:dyDescent="0.25">
      <c r="D63" s="34"/>
      <c r="E63" s="34"/>
    </row>
    <row r="64" spans="4:7" ht="14.25" customHeight="1" x14ac:dyDescent="0.25">
      <c r="D64" s="37" t="s">
        <v>151</v>
      </c>
      <c r="E64" s="46">
        <f>IF(Berechnungen!F57=1,Berechnungen!D42,"XXXX")</f>
        <v>12891.977152461564</v>
      </c>
      <c r="F64" s="4" t="s">
        <v>11</v>
      </c>
    </row>
    <row r="65" spans="2:2" ht="14.25" customHeight="1" x14ac:dyDescent="0.25"/>
    <row r="66" spans="2:2" ht="9.75" customHeight="1" x14ac:dyDescent="0.25"/>
    <row r="67" spans="2:2" ht="16.5" customHeight="1" x14ac:dyDescent="0.25"/>
    <row r="68" spans="2:2" ht="16.5" customHeight="1" x14ac:dyDescent="0.25">
      <c r="B68" t="s">
        <v>25</v>
      </c>
    </row>
    <row r="69" spans="2:2" ht="6.75" hidden="1" customHeight="1" x14ac:dyDescent="0.25"/>
  </sheetData>
  <sheetProtection algorithmName="SHA-512" hashValue="UB/284Ye9V0wEwwirKoxBiO4To3bKJ7gyaDC+VBj4LA4VMEOaLTvtIRuMLawixKVNabplt6BCNXebcH0teUI6A==" saltValue="7hbkPr+ysq1C8qIMZbcuZA==" spinCount="100000" sheet="1" objects="1" scenarios="1" selectLockedCells="1"/>
  <customSheetViews>
    <customSheetView guid="{CA5DEE9B-8C07-4C66-8968-31FD351A4FB5}" showPageBreaks="1" showGridLines="0" showRowCol="0" hiddenRows="1" hiddenColumns="1" state="hidden" view="pageLayout" showRuler="0" topLeftCell="A13">
      <selection activeCell="G14" sqref="G14"/>
      <pageMargins left="0.125" right="8.3333333333333329E-2" top="0.16666666666666666" bottom="0.15625" header="0.3" footer="0.3"/>
      <pageSetup paperSize="9" fitToWidth="0" fitToHeight="0" orientation="portrait" r:id="rId1"/>
    </customSheetView>
  </customSheetViews>
  <mergeCells count="6">
    <mergeCell ref="F7:I7"/>
    <mergeCell ref="E50:G50"/>
    <mergeCell ref="B10:I10"/>
    <mergeCell ref="B22:I22"/>
    <mergeCell ref="B34:I34"/>
    <mergeCell ref="B48:I48"/>
  </mergeCells>
  <pageMargins left="0.125" right="8.3333333333333329E-2" top="0.16666666666666666" bottom="0.15625" header="0.3" footer="0.3"/>
  <pageSetup paperSize="9" fitToWidth="0" fitToHeight="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N51"/>
  <sheetViews>
    <sheetView view="pageBreakPreview" topLeftCell="A10" zoomScale="80" zoomScaleNormal="80" zoomScaleSheetLayoutView="80" workbookViewId="0">
      <selection activeCell="I42" sqref="I42"/>
    </sheetView>
  </sheetViews>
  <sheetFormatPr baseColWidth="10" defaultColWidth="10.5546875" defaultRowHeight="14.4" x14ac:dyDescent="0.3"/>
  <cols>
    <col min="1" max="16384" width="10.5546875" style="311"/>
  </cols>
  <sheetData>
    <row r="1" spans="1:13" s="126" customFormat="1" ht="50.4" customHeight="1" x14ac:dyDescent="0.4">
      <c r="A1" s="187"/>
      <c r="B1" s="188"/>
      <c r="C1" s="188"/>
      <c r="D1" s="447" t="str">
        <f>Berechnungen!E4</f>
        <v>SALINO® 250 Pressure Center  ̶  Flow Characteristic</v>
      </c>
      <c r="E1" s="447"/>
      <c r="F1" s="447"/>
      <c r="G1" s="447"/>
      <c r="H1" s="447"/>
      <c r="I1" s="447"/>
      <c r="J1" s="447"/>
      <c r="K1" s="447"/>
      <c r="L1" s="447"/>
      <c r="M1" s="447"/>
    </row>
    <row r="3" spans="1:13" x14ac:dyDescent="0.3">
      <c r="B3" s="312"/>
    </row>
    <row r="16" spans="1:13" x14ac:dyDescent="0.3">
      <c r="A16" s="335"/>
      <c r="B16" s="335"/>
      <c r="C16" s="335"/>
      <c r="D16" s="335"/>
      <c r="E16" s="335"/>
    </row>
    <row r="17" spans="1:6" x14ac:dyDescent="0.3">
      <c r="A17" s="336">
        <f>Berechnungen!D7</f>
        <v>55</v>
      </c>
      <c r="B17" s="335" t="s">
        <v>551</v>
      </c>
      <c r="C17" s="335" t="s">
        <v>552</v>
      </c>
      <c r="D17" s="335" t="s">
        <v>553</v>
      </c>
      <c r="E17" s="335" t="s">
        <v>554</v>
      </c>
      <c r="F17" s="322"/>
    </row>
    <row r="18" spans="1:6" x14ac:dyDescent="0.3">
      <c r="A18" s="337">
        <f>'Inquiry Form'!E17</f>
        <v>250</v>
      </c>
      <c r="B18" s="335" t="str">
        <f>VLOOKUP($A18,Overview_Salino_cleaned!$A$12:$CA$23,Overview_Salino_cleaned!BV$11,FALSE)</f>
        <v>SAE 2"</v>
      </c>
      <c r="C18" s="335" t="str">
        <f>VLOOKUP($A18,Overview_Salino_cleaned!$A$12:$CA$23,Overview_Salino_cleaned!BW$11,FALSE)</f>
        <v>SAE 2"</v>
      </c>
      <c r="D18" s="335" t="str">
        <f>VLOOKUP($A18,Overview_Salino_cleaned!$A$12:$CA$23,Overview_Salino_cleaned!BX$11,FALSE)</f>
        <v>SAE 2"</v>
      </c>
      <c r="E18" s="335" t="str">
        <f>VLOOKUP($A18,Overview_Salino_cleaned!$A$12:$CA$23,Overview_Salino_cleaned!BY$11,FALSE)</f>
        <v>SAE 2"</v>
      </c>
      <c r="F18" s="322"/>
    </row>
    <row r="19" spans="1:6" x14ac:dyDescent="0.3">
      <c r="A19" s="335"/>
      <c r="B19" s="335"/>
      <c r="C19" s="335"/>
      <c r="D19" s="335"/>
      <c r="E19" s="335"/>
      <c r="F19" s="322"/>
    </row>
    <row r="20" spans="1:6" x14ac:dyDescent="0.3">
      <c r="A20" s="335"/>
      <c r="B20" s="335"/>
      <c r="C20" s="335"/>
      <c r="D20" s="335"/>
      <c r="E20" s="335"/>
      <c r="F20" s="322"/>
    </row>
    <row r="21" spans="1:6" x14ac:dyDescent="0.3">
      <c r="A21" s="322"/>
      <c r="B21" s="322"/>
      <c r="C21" s="322"/>
      <c r="D21" s="322"/>
      <c r="E21" s="322"/>
      <c r="F21" s="322"/>
    </row>
    <row r="22" spans="1:6" x14ac:dyDescent="0.3">
      <c r="A22" s="322"/>
      <c r="B22" s="322"/>
      <c r="C22" s="322"/>
      <c r="D22" s="322"/>
      <c r="E22" s="322"/>
      <c r="F22" s="322"/>
    </row>
    <row r="23" spans="1:6" x14ac:dyDescent="0.3">
      <c r="A23" s="322"/>
      <c r="B23" s="322"/>
      <c r="C23" s="322"/>
      <c r="D23" s="322"/>
      <c r="E23" s="322"/>
      <c r="F23" s="322"/>
    </row>
    <row r="45" spans="1:14" x14ac:dyDescent="0.3">
      <c r="A45" s="320" t="s">
        <v>646</v>
      </c>
    </row>
    <row r="46" spans="1:14" x14ac:dyDescent="0.3">
      <c r="A46" s="323" t="s">
        <v>661</v>
      </c>
      <c r="B46" s="448" t="s">
        <v>666</v>
      </c>
      <c r="C46" s="450">
        <f>IF(A17&lt;=Overview_Salino_cleaned!CB8,VLOOKUP($A$18,Overview_Salino_cleaned!$A$11:$CG$23,Overview_Salino_cleaned!CB$11,FALSE),IF($A$17&gt;Overview_Salino_cleaned!$CC$8,"non Standard",""))</f>
        <v>0</v>
      </c>
      <c r="D46" s="450"/>
      <c r="E46" s="450"/>
      <c r="F46" s="450"/>
      <c r="G46" s="450"/>
      <c r="H46" s="450"/>
      <c r="I46" s="450"/>
      <c r="J46" s="450"/>
      <c r="K46" s="450"/>
      <c r="L46" s="450"/>
      <c r="M46" s="450"/>
      <c r="N46" s="450"/>
    </row>
    <row r="47" spans="1:14" x14ac:dyDescent="0.3">
      <c r="A47" s="323" t="s">
        <v>662</v>
      </c>
      <c r="B47" s="449"/>
      <c r="C47" s="450" t="str">
        <f>IF(AND(A18&gt;Overview_Salino_cleaned!CB9,A18&lt;=Overview_Salino_cleaned!CC8),VLOOKUP($A$18,Overview_Salino_cleaned!$A$11:$CG$23,Overview_Salino_cleaned!CC$11,FALSE),IF($A$17&gt;Overview_Salino_cleaned!$CC$8,"non Standard",""))</f>
        <v/>
      </c>
      <c r="D47" s="450"/>
      <c r="E47" s="450"/>
      <c r="F47" s="450"/>
      <c r="G47" s="450"/>
      <c r="H47" s="450"/>
      <c r="I47" s="450"/>
      <c r="J47" s="450"/>
      <c r="K47" s="450"/>
      <c r="L47" s="450"/>
      <c r="M47" s="450"/>
      <c r="N47" s="450"/>
    </row>
    <row r="48" spans="1:14" x14ac:dyDescent="0.3">
      <c r="A48" s="323" t="s">
        <v>663</v>
      </c>
      <c r="B48" s="324" t="s">
        <v>667</v>
      </c>
      <c r="C48" s="450">
        <f>VLOOKUP($A$18,Overview_Salino_cleaned!$A$11:$CG$23,Overview_Salino_cleaned!CD$11,FALSE)</f>
        <v>0</v>
      </c>
      <c r="D48" s="450"/>
      <c r="E48" s="450"/>
      <c r="F48" s="450"/>
      <c r="G48" s="450"/>
      <c r="H48" s="450"/>
      <c r="I48" s="450"/>
      <c r="J48" s="450"/>
      <c r="K48" s="450"/>
      <c r="L48" s="450"/>
      <c r="M48" s="450"/>
      <c r="N48" s="450"/>
    </row>
    <row r="49" spans="1:14" x14ac:dyDescent="0.3">
      <c r="A49" s="323" t="s">
        <v>547</v>
      </c>
      <c r="B49" s="324" t="s">
        <v>647</v>
      </c>
      <c r="C49" s="450">
        <f>VLOOKUP($A$18,Overview_Salino_cleaned!$A$11:$CG$23,Overview_Salino_cleaned!CE11,FALSE)</f>
        <v>0</v>
      </c>
      <c r="D49" s="450"/>
      <c r="E49" s="450"/>
      <c r="F49" s="450"/>
      <c r="G49" s="450"/>
      <c r="H49" s="450"/>
      <c r="I49" s="450"/>
      <c r="J49" s="450"/>
      <c r="K49" s="450"/>
      <c r="L49" s="450"/>
      <c r="M49" s="450"/>
      <c r="N49" s="450"/>
    </row>
    <row r="50" spans="1:14" x14ac:dyDescent="0.3">
      <c r="A50" s="323" t="s">
        <v>664</v>
      </c>
      <c r="B50" s="448" t="s">
        <v>668</v>
      </c>
      <c r="C50" s="450">
        <f>VLOOKUP($A$18,Overview_Salino_cleaned!$A$11:$CG$23,Overview_Salino_cleaned!CF$11,FALSE)</f>
        <v>0</v>
      </c>
      <c r="D50" s="450"/>
      <c r="E50" s="450"/>
      <c r="F50" s="450"/>
      <c r="G50" s="450"/>
      <c r="H50" s="450"/>
      <c r="I50" s="450"/>
      <c r="J50" s="450"/>
      <c r="K50" s="450"/>
      <c r="L50" s="450"/>
      <c r="M50" s="450"/>
      <c r="N50" s="450"/>
    </row>
    <row r="51" spans="1:14" x14ac:dyDescent="0.3">
      <c r="A51" s="323" t="s">
        <v>665</v>
      </c>
      <c r="B51" s="449"/>
      <c r="C51" s="450" t="str">
        <f>VLOOKUP($A$18,Overview_Salino_cleaned!$A$11:$CG$23,Overview_Salino_cleaned!CG$11,FALSE)</f>
        <v>4 pcs Pressure sensor PT; for operating in auto mode (SAL9245 LP in+out/HP in+out)</v>
      </c>
      <c r="D51" s="450"/>
      <c r="E51" s="450"/>
      <c r="F51" s="450"/>
      <c r="G51" s="450"/>
      <c r="H51" s="450"/>
      <c r="I51" s="450"/>
      <c r="J51" s="450"/>
      <c r="K51" s="450"/>
      <c r="L51" s="450"/>
      <c r="M51" s="450"/>
      <c r="N51" s="450"/>
    </row>
  </sheetData>
  <mergeCells count="9">
    <mergeCell ref="D1:M1"/>
    <mergeCell ref="B46:B47"/>
    <mergeCell ref="B50:B51"/>
    <mergeCell ref="C46:N46"/>
    <mergeCell ref="C47:N47"/>
    <mergeCell ref="C48:N48"/>
    <mergeCell ref="C49:N49"/>
    <mergeCell ref="C50:N50"/>
    <mergeCell ref="C51:N51"/>
  </mergeCells>
  <pageMargins left="0.7" right="0.7" top="0.78740157499999996" bottom="0.78740157499999996" header="0.3" footer="0.3"/>
  <pageSetup paperSize="9" scale="66"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dimension ref="A1:Z156"/>
  <sheetViews>
    <sheetView topLeftCell="A21" zoomScale="90" zoomScaleNormal="90" workbookViewId="0">
      <selection activeCell="I52" sqref="I52"/>
    </sheetView>
  </sheetViews>
  <sheetFormatPr baseColWidth="10" defaultRowHeight="13.2" x14ac:dyDescent="0.25"/>
  <cols>
    <col min="2" max="2" width="28.109375" customWidth="1"/>
    <col min="3" max="3" width="16.109375" bestFit="1" customWidth="1"/>
    <col min="7" max="7" width="14.5546875" customWidth="1"/>
    <col min="8" max="8" width="32.5546875" customWidth="1"/>
    <col min="9" max="11" width="10.6640625" bestFit="1" customWidth="1"/>
    <col min="12" max="15" width="11.33203125" bestFit="1" customWidth="1"/>
    <col min="16" max="16" width="11.33203125" customWidth="1"/>
  </cols>
  <sheetData>
    <row r="1" spans="1:11" s="275" customFormat="1" ht="14.4" x14ac:dyDescent="0.3">
      <c r="C1" s="275" t="s">
        <v>486</v>
      </c>
    </row>
    <row r="2" spans="1:11" s="275" customFormat="1" ht="17.399999999999999" x14ac:dyDescent="0.3">
      <c r="A2" s="276" t="s">
        <v>592</v>
      </c>
      <c r="B2" s="277">
        <f>'Inquiry Form'!E17</f>
        <v>250</v>
      </c>
      <c r="C2" s="278">
        <f>VLOOKUP(B2,Overview_Salino_cleaned!A12:B23,2,FALSE)</f>
        <v>0</v>
      </c>
      <c r="E2" s="307" t="s">
        <v>621</v>
      </c>
      <c r="F2" s="307" t="s">
        <v>620</v>
      </c>
      <c r="H2" s="313" t="s">
        <v>622</v>
      </c>
    </row>
    <row r="3" spans="1:11" x14ac:dyDescent="0.25">
      <c r="E3" t="str">
        <f>E2&amp;B2&amp;F2</f>
        <v>SALINO® 250 Pressure Center  ̶  Design Tool</v>
      </c>
    </row>
    <row r="4" spans="1:11" ht="17.399999999999999" x14ac:dyDescent="0.3">
      <c r="A4" s="5" t="s">
        <v>40</v>
      </c>
      <c r="E4" t="str">
        <f>E2&amp;B2&amp;H2</f>
        <v>SALINO® 250 Pressure Center  ̶  Flow Characteristic</v>
      </c>
    </row>
    <row r="6" spans="1:11" ht="15.6" x14ac:dyDescent="0.25">
      <c r="A6" s="7" t="s">
        <v>27</v>
      </c>
      <c r="B6" s="14" t="s">
        <v>41</v>
      </c>
      <c r="C6" s="14" t="s">
        <v>7</v>
      </c>
      <c r="D6" s="17">
        <f>ROUND('Design Tool'!H4,0)</f>
        <v>35</v>
      </c>
      <c r="E6" s="14" t="s">
        <v>0</v>
      </c>
      <c r="G6" s="19" t="s">
        <v>63</v>
      </c>
      <c r="H6" s="14" t="s">
        <v>65</v>
      </c>
      <c r="I6" s="14" t="s">
        <v>64</v>
      </c>
      <c r="J6" s="278">
        <f>VLOOKUP($B$2,Overview_Salino_cleaned!$A$12:$CA$23,Overview_Salino_cleaned!G11,FALSE)</f>
        <v>225</v>
      </c>
      <c r="K6" s="14" t="s">
        <v>114</v>
      </c>
    </row>
    <row r="7" spans="1:11" ht="15.6" x14ac:dyDescent="0.25">
      <c r="B7" s="14" t="s">
        <v>42</v>
      </c>
      <c r="C7" s="14" t="s">
        <v>43</v>
      </c>
      <c r="D7" s="17">
        <f>'Design Tool'!D11</f>
        <v>55</v>
      </c>
      <c r="E7" s="30" t="str">
        <f>IF(Units!B4=TRUE,"bar","psi")</f>
        <v>bar</v>
      </c>
      <c r="G7" s="16"/>
      <c r="H7" s="14" t="s">
        <v>66</v>
      </c>
      <c r="I7" s="14" t="s">
        <v>67</v>
      </c>
      <c r="J7" s="278">
        <f>VLOOKUP($B$2,Overview_Salino_cleaned!$A$12:$CA$23,Overview_Salino_cleaned!AN11,FALSE)*100</f>
        <v>96</v>
      </c>
      <c r="K7" s="14" t="s">
        <v>0</v>
      </c>
    </row>
    <row r="8" spans="1:11" ht="15.6" x14ac:dyDescent="0.25">
      <c r="B8" s="14" t="s">
        <v>22</v>
      </c>
      <c r="C8" s="14" t="s">
        <v>107</v>
      </c>
      <c r="D8" s="17">
        <f>'Design Tool'!P13</f>
        <v>80</v>
      </c>
      <c r="E8" s="30" t="str">
        <f>IF(Units!B4=TRUE,"bar","psi")</f>
        <v>bar</v>
      </c>
      <c r="G8" s="16"/>
      <c r="H8" s="14" t="s">
        <v>69</v>
      </c>
      <c r="I8" s="14" t="s">
        <v>68</v>
      </c>
      <c r="J8" s="278">
        <f>VLOOKUP($B$2,Overview_Salino_cleaned!$A$12:$CA$23,Overview_Salino_cleaned!AO11,FALSE)*100</f>
        <v>97</v>
      </c>
      <c r="K8" s="14" t="s">
        <v>0</v>
      </c>
    </row>
    <row r="9" spans="1:11" ht="15.6" x14ac:dyDescent="0.25">
      <c r="B9" s="14" t="s">
        <v>28</v>
      </c>
      <c r="C9" s="14" t="s">
        <v>44</v>
      </c>
      <c r="D9" s="17">
        <f>IF(Units!B7=TRUE,D10/24,D10)</f>
        <v>5.4000000000000012</v>
      </c>
      <c r="E9" s="30" t="str">
        <f>IF(Units!B7=TRUE,"m3/h","gpm")</f>
        <v>m3/h</v>
      </c>
      <c r="G9" s="16"/>
      <c r="H9" s="14" t="s">
        <v>97</v>
      </c>
      <c r="I9" s="14" t="s">
        <v>98</v>
      </c>
      <c r="J9" s="278">
        <f>VLOOKUP($B$2,Overview_Salino_cleaned!$A$12:$CA$23,Overview_Salino_cleaned!AP11,FALSE)*100</f>
        <v>96</v>
      </c>
      <c r="K9" s="14" t="s">
        <v>0</v>
      </c>
    </row>
    <row r="10" spans="1:11" ht="15.6" x14ac:dyDescent="0.25">
      <c r="B10" s="14"/>
      <c r="C10" s="14"/>
      <c r="D10" s="17">
        <f>'Design Tool'!P19</f>
        <v>129.60000000000002</v>
      </c>
      <c r="E10" s="30" t="str">
        <f>IF(Units!B7=TRUE,"m3/d","gpm")</f>
        <v>m3/d</v>
      </c>
      <c r="G10" s="16"/>
      <c r="H10" s="14" t="s">
        <v>86</v>
      </c>
      <c r="I10" s="14" t="s">
        <v>85</v>
      </c>
      <c r="J10" s="14">
        <v>0.60499999999999998</v>
      </c>
      <c r="K10" s="14" t="s">
        <v>115</v>
      </c>
    </row>
    <row r="11" spans="1:11" ht="15.6" x14ac:dyDescent="0.25">
      <c r="B11" s="14" t="s">
        <v>45</v>
      </c>
      <c r="C11" s="14" t="s">
        <v>46</v>
      </c>
      <c r="D11" s="17">
        <f>'Design Tool'!D31</f>
        <v>20</v>
      </c>
      <c r="E11" s="30" t="str">
        <f>IF(Units!B10=TRUE,"°C","°F")</f>
        <v>°C</v>
      </c>
    </row>
    <row r="12" spans="1:11" ht="15.6" x14ac:dyDescent="0.25">
      <c r="B12" s="14" t="s">
        <v>47</v>
      </c>
      <c r="C12" s="14" t="s">
        <v>48</v>
      </c>
      <c r="D12" s="17">
        <f>'Design Tool'!D30</f>
        <v>38000</v>
      </c>
      <c r="E12" s="14" t="s">
        <v>1</v>
      </c>
    </row>
    <row r="13" spans="1:11" ht="15" x14ac:dyDescent="0.25">
      <c r="B13" s="14" t="s">
        <v>49</v>
      </c>
      <c r="C13" s="18" t="s">
        <v>50</v>
      </c>
      <c r="D13" s="17">
        <f>'Design Tool'!P20</f>
        <v>1</v>
      </c>
      <c r="E13" s="30" t="str">
        <f>IF(Units!B4=TRUE,"bar","psi")</f>
        <v>bar</v>
      </c>
    </row>
    <row r="14" spans="1:11" ht="15.6" x14ac:dyDescent="0.25">
      <c r="B14" s="14" t="s">
        <v>39</v>
      </c>
      <c r="C14" s="14" t="s">
        <v>51</v>
      </c>
      <c r="D14" s="17">
        <f>'Design Tool'!H24</f>
        <v>3</v>
      </c>
      <c r="E14" s="30" t="str">
        <f>IF(Units!B4=TRUE,"bar","psi")</f>
        <v>bar</v>
      </c>
    </row>
    <row r="15" spans="1:11" ht="15.6" x14ac:dyDescent="0.25">
      <c r="B15" s="14" t="s">
        <v>37</v>
      </c>
      <c r="C15" s="14" t="s">
        <v>52</v>
      </c>
      <c r="D15" s="17">
        <f>'Design Tool'!P22</f>
        <v>91.2</v>
      </c>
      <c r="E15" s="14" t="s">
        <v>0</v>
      </c>
    </row>
    <row r="16" spans="1:11" ht="15.6" x14ac:dyDescent="0.25">
      <c r="B16" s="14" t="s">
        <v>36</v>
      </c>
      <c r="C16" s="14" t="s">
        <v>53</v>
      </c>
      <c r="D16" s="17">
        <f>'Design Tool'!P24</f>
        <v>98</v>
      </c>
      <c r="E16" s="14" t="s">
        <v>0</v>
      </c>
    </row>
    <row r="17" spans="2:10" ht="15.6" x14ac:dyDescent="0.25">
      <c r="B17" s="14" t="s">
        <v>54</v>
      </c>
      <c r="C17" s="14" t="s">
        <v>8</v>
      </c>
      <c r="D17" s="17">
        <f>'Design Tool'!P33</f>
        <v>0.11</v>
      </c>
      <c r="E17" s="14" t="s">
        <v>9</v>
      </c>
    </row>
    <row r="18" spans="2:10" ht="15.6" x14ac:dyDescent="0.25">
      <c r="B18" s="14" t="s">
        <v>55</v>
      </c>
      <c r="C18" s="14" t="s">
        <v>56</v>
      </c>
      <c r="D18" s="17">
        <f>'Design Tool'!D24</f>
        <v>3.8442176870748304</v>
      </c>
      <c r="E18" s="30" t="str">
        <f>IF(Units!B4=TRUE,"bar","psi")</f>
        <v>bar</v>
      </c>
    </row>
    <row r="19" spans="2:10" x14ac:dyDescent="0.25">
      <c r="B19" s="15"/>
      <c r="C19" s="15"/>
      <c r="D19" s="20"/>
      <c r="E19" s="15"/>
      <c r="G19" s="12"/>
      <c r="H19" s="13"/>
    </row>
    <row r="20" spans="2:10" x14ac:dyDescent="0.25">
      <c r="D20" s="8"/>
    </row>
    <row r="21" spans="2:10" x14ac:dyDescent="0.25">
      <c r="D21" s="9"/>
      <c r="E21" s="13" t="s">
        <v>93</v>
      </c>
      <c r="F21" s="1"/>
    </row>
    <row r="22" spans="2:10" ht="15.75" customHeight="1" x14ac:dyDescent="0.25"/>
    <row r="23" spans="2:10" ht="15.75" customHeight="1" x14ac:dyDescent="0.35">
      <c r="B23" s="1"/>
      <c r="C23" s="1"/>
      <c r="D23" s="8"/>
      <c r="E23" s="1"/>
      <c r="H23" s="10" t="s">
        <v>91</v>
      </c>
      <c r="I23" s="20">
        <f>D8</f>
        <v>80</v>
      </c>
      <c r="J23" s="14" t="s">
        <v>116</v>
      </c>
    </row>
    <row r="24" spans="2:10" ht="15.75" customHeight="1" x14ac:dyDescent="0.25">
      <c r="B24" s="14" t="s">
        <v>58</v>
      </c>
      <c r="C24" s="14" t="s">
        <v>57</v>
      </c>
      <c r="D24" s="11">
        <f>D9/(D6/100)</f>
        <v>15.428571428571432</v>
      </c>
      <c r="E24" s="30" t="str">
        <f>IF(Units!B7=TRUE,"m3/h","gpm")</f>
        <v>m3/h</v>
      </c>
      <c r="I24" s="21">
        <f>D9/(D6/100)</f>
        <v>15.428571428571432</v>
      </c>
      <c r="J24" s="30" t="str">
        <f>IF(Units!B7=TRUE,"m3/h","gpm")</f>
        <v>m3/h</v>
      </c>
    </row>
    <row r="25" spans="2:10" ht="15.75" customHeight="1" x14ac:dyDescent="0.25">
      <c r="B25" s="14" t="s">
        <v>60</v>
      </c>
      <c r="C25" s="14" t="s">
        <v>59</v>
      </c>
      <c r="D25" s="11">
        <f>D24-D9</f>
        <v>10.028571428571432</v>
      </c>
      <c r="E25" s="30" t="str">
        <f>IF(Units!B7=TRUE,"m3/h","gpm")</f>
        <v>m3/h</v>
      </c>
      <c r="I25" s="21">
        <f>I24-D9</f>
        <v>10.028571428571432</v>
      </c>
      <c r="J25" s="30" t="str">
        <f>IF(Units!B7=TRUE,"m3/h","gpm")</f>
        <v>m3/h</v>
      </c>
    </row>
    <row r="26" spans="2:10" ht="15.75" customHeight="1" x14ac:dyDescent="0.25">
      <c r="B26" s="14" t="s">
        <v>61</v>
      </c>
      <c r="C26" s="14" t="s">
        <v>62</v>
      </c>
      <c r="D26" s="11">
        <f>D24+((D24/D30*1500)*(1-J8/100))</f>
        <v>16.036071428571432</v>
      </c>
      <c r="E26" s="30" t="str">
        <f>IF(Units!B7=TRUE,"m3/h","gpm")</f>
        <v>m3/h</v>
      </c>
      <c r="I26" s="21">
        <f>I24/J8*100</f>
        <v>15.905743740795291</v>
      </c>
      <c r="J26" s="30" t="str">
        <f>IF(Units!B7=TRUE,"m3/h","gpm")</f>
        <v>m3/h</v>
      </c>
    </row>
    <row r="27" spans="2:10" ht="15.75" customHeight="1" x14ac:dyDescent="0.25">
      <c r="B27" s="14" t="s">
        <v>101</v>
      </c>
      <c r="C27" s="14" t="s">
        <v>102</v>
      </c>
      <c r="D27" s="11">
        <f>D25-(D25/D30*1500)*(1-J9/100)</f>
        <v>9.5020714285714316</v>
      </c>
      <c r="E27" s="30" t="str">
        <f>IF(Units!B7=TRUE,"m3/h","gpm")</f>
        <v>m3/h</v>
      </c>
      <c r="I27" s="21">
        <f>I25*J9/100</f>
        <v>9.6274285714285739</v>
      </c>
      <c r="J27" s="30" t="str">
        <f>IF(Units!B7=TRUE,"m3/h","gpm")</f>
        <v>m3/h</v>
      </c>
    </row>
    <row r="28" spans="2:10" ht="15.75" customHeight="1" x14ac:dyDescent="0.25">
      <c r="B28" s="14" t="s">
        <v>99</v>
      </c>
      <c r="C28" s="14" t="s">
        <v>100</v>
      </c>
      <c r="D28" s="11">
        <f>D26-D24+D25-D27</f>
        <v>1.1340000000000003</v>
      </c>
      <c r="E28" s="30" t="str">
        <f>IF(Units!B7=TRUE,"m3/h","gpm")</f>
        <v>m3/h</v>
      </c>
      <c r="I28" s="21">
        <f>I26-I24+I25-I27</f>
        <v>0.87831516936671683</v>
      </c>
      <c r="J28" s="30" t="str">
        <f>IF(Units!B7=TRUE,"m3/h","gpm")</f>
        <v>m3/h</v>
      </c>
    </row>
    <row r="29" spans="2:10" ht="15.75" customHeight="1" x14ac:dyDescent="0.25">
      <c r="B29" s="14" t="s">
        <v>123</v>
      </c>
      <c r="C29" s="14" t="s">
        <v>5</v>
      </c>
      <c r="D29" s="21">
        <f>D24/Units!E7*1000000/J6/60</f>
        <v>1142.8571428571433</v>
      </c>
      <c r="E29" s="1" t="s">
        <v>2</v>
      </c>
      <c r="I29" s="21">
        <f>I24/Units!E7*1000000/J6/60</f>
        <v>1142.8571428571433</v>
      </c>
      <c r="J29" s="1" t="s">
        <v>2</v>
      </c>
    </row>
    <row r="30" spans="2:10" ht="15.75" customHeight="1" x14ac:dyDescent="0.25">
      <c r="B30" s="14" t="s">
        <v>124</v>
      </c>
      <c r="C30" s="14" t="s">
        <v>5</v>
      </c>
      <c r="D30" s="11">
        <f>D29/G54</f>
        <v>1142.8571428571433</v>
      </c>
      <c r="E30" s="1" t="s">
        <v>2</v>
      </c>
      <c r="I30" s="21">
        <f>I29/G54</f>
        <v>1142.8571428571433</v>
      </c>
      <c r="J30" s="1" t="s">
        <v>2</v>
      </c>
    </row>
    <row r="31" spans="2:10" ht="15.75" customHeight="1" x14ac:dyDescent="0.25">
      <c r="B31" s="14" t="s">
        <v>71</v>
      </c>
      <c r="C31" s="14" t="s">
        <v>4</v>
      </c>
      <c r="D31" s="8">
        <f>D7-D18</f>
        <v>51.155782312925169</v>
      </c>
      <c r="E31" s="30" t="str">
        <f>IF(Units!B4=TRUE,"bar","psi")</f>
        <v>bar</v>
      </c>
      <c r="I31" s="21">
        <f>I23-D18</f>
        <v>76.155782312925169</v>
      </c>
      <c r="J31" s="30" t="str">
        <f>IF(Units!B4=TRUE,"bar","psi")</f>
        <v>bar</v>
      </c>
    </row>
    <row r="32" spans="2:10" ht="15.6" x14ac:dyDescent="0.25">
      <c r="B32" s="14" t="s">
        <v>60</v>
      </c>
      <c r="C32" s="14" t="s">
        <v>72</v>
      </c>
      <c r="D32" s="11">
        <f>D7-D13</f>
        <v>54</v>
      </c>
      <c r="E32" s="30" t="str">
        <f>IF(Units!B4=TRUE,"bar","psi")</f>
        <v>bar</v>
      </c>
      <c r="I32" s="21">
        <f>I23-D13</f>
        <v>79</v>
      </c>
      <c r="J32" s="30" t="str">
        <f>IF(Units!B4=TRUE,"bar","psi")</f>
        <v>bar</v>
      </c>
    </row>
    <row r="33" spans="2:10" ht="15.6" x14ac:dyDescent="0.25">
      <c r="B33" s="14" t="s">
        <v>73</v>
      </c>
      <c r="C33" s="14" t="s">
        <v>74</v>
      </c>
      <c r="D33" s="8">
        <f>J6*D31/Units!E4*D29/J7*10/60000/(J8/100)</f>
        <v>23.543714245639361</v>
      </c>
      <c r="E33" s="1" t="s">
        <v>3</v>
      </c>
      <c r="I33" s="21">
        <f>J6*I31/Units!E4*I29/J7*10/60000</f>
        <v>33.998117103984463</v>
      </c>
      <c r="J33" s="1" t="s">
        <v>3</v>
      </c>
    </row>
    <row r="34" spans="2:10" ht="15.6" x14ac:dyDescent="0.25">
      <c r="B34" s="14" t="s">
        <v>75</v>
      </c>
      <c r="C34" s="14" t="s">
        <v>76</v>
      </c>
      <c r="D34" s="8">
        <f>(100-D6)/100*J6</f>
        <v>146.25</v>
      </c>
      <c r="E34" s="1" t="s">
        <v>114</v>
      </c>
      <c r="I34" s="21">
        <f>(100-D6)/100*J6</f>
        <v>146.25</v>
      </c>
      <c r="J34" s="1" t="s">
        <v>114</v>
      </c>
    </row>
    <row r="35" spans="2:10" ht="15.6" x14ac:dyDescent="0.25">
      <c r="B35" s="14" t="s">
        <v>77</v>
      </c>
      <c r="C35" s="14" t="s">
        <v>78</v>
      </c>
      <c r="D35" s="11">
        <f>D34*J7*(D7-D13-D14)/Units!E4*D29/60000/10/100*(J9/100)</f>
        <v>13.093302857142861</v>
      </c>
      <c r="E35" s="1" t="s">
        <v>3</v>
      </c>
      <c r="F35" s="342" t="s">
        <v>672</v>
      </c>
      <c r="G35" s="342">
        <v>0.91325999999999996</v>
      </c>
      <c r="I35" s="21">
        <f>I34*J7*(I23-D13-D14)/Units!E4*I29/60000/10/100</f>
        <v>20.324571428571439</v>
      </c>
      <c r="J35" s="1" t="s">
        <v>3</v>
      </c>
    </row>
    <row r="36" spans="2:10" ht="15.6" x14ac:dyDescent="0.25">
      <c r="B36" s="14" t="s">
        <v>80</v>
      </c>
      <c r="C36" s="14" t="s">
        <v>79</v>
      </c>
      <c r="D36" s="8">
        <f>D33-D35</f>
        <v>10.4504113884965</v>
      </c>
      <c r="E36" s="1" t="s">
        <v>3</v>
      </c>
      <c r="F36" t="s">
        <v>673</v>
      </c>
      <c r="G36">
        <f>G35*365*24</f>
        <v>8000.1576000000005</v>
      </c>
      <c r="I36" s="21">
        <f>I33-I35</f>
        <v>13.673545675413024</v>
      </c>
      <c r="J36" s="1" t="s">
        <v>3</v>
      </c>
    </row>
    <row r="37" spans="2:10" ht="15.6" x14ac:dyDescent="0.25">
      <c r="B37" s="14" t="s">
        <v>81</v>
      </c>
      <c r="C37" s="14" t="s">
        <v>82</v>
      </c>
      <c r="D37" s="11">
        <f>D36/D15/D16*10000</f>
        <v>11.692637160419462</v>
      </c>
      <c r="E37" s="1" t="s">
        <v>3</v>
      </c>
      <c r="I37" s="44">
        <f>I36/D15/D16*10000</f>
        <v>15.298900907864555</v>
      </c>
      <c r="J37" s="1" t="s">
        <v>3</v>
      </c>
    </row>
    <row r="38" spans="2:10" ht="15.6" x14ac:dyDescent="0.25">
      <c r="B38" s="14" t="s">
        <v>32</v>
      </c>
      <c r="C38" s="14" t="s">
        <v>83</v>
      </c>
      <c r="D38" s="11">
        <f>D37/D9*Units!E7</f>
        <v>2.1653031778554555</v>
      </c>
      <c r="E38" s="1" t="s">
        <v>117</v>
      </c>
      <c r="I38" s="21">
        <f>I37/D9*Units!E7</f>
        <v>2.8331297977526946</v>
      </c>
      <c r="J38" s="1" t="s">
        <v>117</v>
      </c>
    </row>
    <row r="39" spans="2:10" ht="15.6" x14ac:dyDescent="0.25">
      <c r="B39" s="14" t="s">
        <v>84</v>
      </c>
      <c r="C39" s="14" t="s">
        <v>90</v>
      </c>
      <c r="D39" s="11">
        <f>D38*D17</f>
        <v>0.23818334956410009</v>
      </c>
      <c r="E39" s="1" t="s">
        <v>118</v>
      </c>
      <c r="I39" s="21">
        <f>I38*D17</f>
        <v>0.31164427775279641</v>
      </c>
      <c r="J39" s="1" t="s">
        <v>118</v>
      </c>
    </row>
    <row r="40" spans="2:10" ht="15.6" x14ac:dyDescent="0.25">
      <c r="B40" s="14" t="s">
        <v>88</v>
      </c>
      <c r="C40" s="14" t="s">
        <v>87</v>
      </c>
      <c r="D40" s="11">
        <f>IF(Units!B7=TRUE,D35*G36/D16/D15*100*100,D35*G36*24/Units!C8*365/D16/D15/D9*Units!C8*10000)</f>
        <v>117199.79229510513</v>
      </c>
      <c r="E40" s="1" t="s">
        <v>94</v>
      </c>
      <c r="F40">
        <f>D35*G35*365*24</f>
        <v>104748.48636167317</v>
      </c>
      <c r="I40" s="21">
        <f>IF(Units!B7=TRUE,I35*D10*365/D16/D15/D9*10000,I35*D10*24/Units!C8*365/D16/D15/D9*Units!C8*10000)</f>
        <v>199206.9970845482</v>
      </c>
      <c r="J40" s="1" t="s">
        <v>94</v>
      </c>
    </row>
    <row r="41" spans="2:10" ht="15.6" x14ac:dyDescent="0.25">
      <c r="B41" s="14" t="s">
        <v>33</v>
      </c>
      <c r="C41" s="15" t="s">
        <v>10</v>
      </c>
      <c r="D41" s="11">
        <f>J10/1000*D40</f>
        <v>70.905874338538595</v>
      </c>
      <c r="E41" s="1" t="s">
        <v>35</v>
      </c>
      <c r="I41" s="21">
        <f>J10/1000*I40</f>
        <v>120.52023323615165</v>
      </c>
      <c r="J41" s="1" t="s">
        <v>35</v>
      </c>
    </row>
    <row r="42" spans="2:10" ht="15.6" x14ac:dyDescent="0.25">
      <c r="B42" s="14" t="s">
        <v>34</v>
      </c>
      <c r="C42" s="15" t="s">
        <v>89</v>
      </c>
      <c r="D42" s="11">
        <f>D40*D17</f>
        <v>12891.977152461564</v>
      </c>
      <c r="E42" s="1" t="s">
        <v>11</v>
      </c>
      <c r="G42" s="12"/>
      <c r="I42" s="21">
        <f>I40*D17</f>
        <v>21912.769679300302</v>
      </c>
      <c r="J42" s="1" t="s">
        <v>11</v>
      </c>
    </row>
    <row r="43" spans="2:10" x14ac:dyDescent="0.25">
      <c r="D43" s="8"/>
    </row>
    <row r="44" spans="2:10" x14ac:dyDescent="0.25">
      <c r="D44" s="8"/>
    </row>
    <row r="45" spans="2:10" x14ac:dyDescent="0.25">
      <c r="D45" s="11"/>
      <c r="E45" s="13" t="s">
        <v>92</v>
      </c>
    </row>
    <row r="46" spans="2:10" x14ac:dyDescent="0.25">
      <c r="D46" s="8"/>
      <c r="H46" s="1" t="s">
        <v>430</v>
      </c>
      <c r="I46" s="278">
        <f>VLOOKUP($B$2,Overview_Salino_cleaned!$A$12:$CA$23,Overview_Salino_cleaned!AC11,FALSE)</f>
        <v>3</v>
      </c>
      <c r="J46" s="1" t="s">
        <v>116</v>
      </c>
    </row>
    <row r="47" spans="2:10" x14ac:dyDescent="0.25">
      <c r="D47" s="8"/>
      <c r="H47" s="1" t="s">
        <v>431</v>
      </c>
      <c r="I47">
        <f>I50-I46*(1+I48)</f>
        <v>-3.3000000000000003</v>
      </c>
      <c r="J47" s="1" t="s">
        <v>116</v>
      </c>
    </row>
    <row r="48" spans="2:10" x14ac:dyDescent="0.25">
      <c r="D48" s="8"/>
      <c r="H48" s="1" t="s">
        <v>435</v>
      </c>
      <c r="I48" s="278">
        <f>VLOOKUP($B$2,Overview_Salino_cleaned!$A$12:$CA$23,Overview_Salino_cleaned!AD11,FALSE)</f>
        <v>0.1</v>
      </c>
    </row>
    <row r="49" spans="1:16" x14ac:dyDescent="0.25">
      <c r="D49" s="8"/>
      <c r="H49" s="1" t="s">
        <v>594</v>
      </c>
      <c r="I49" s="278">
        <f>VLOOKUP($B$2,Overview_Salino_cleaned!$A$12:$CA$23,Overview_Salino_cleaned!AB11,FALSE)</f>
        <v>0.15</v>
      </c>
    </row>
    <row r="50" spans="1:16" ht="15.6" x14ac:dyDescent="0.3">
      <c r="A50" s="275"/>
      <c r="B50" s="279" t="s">
        <v>105</v>
      </c>
      <c r="C50" s="278">
        <f t="array" ref="C50">IF(VLOOKUP($B$2,Overview_Salino_cleaned!$A$12:$CA$23,Overview_Salino_cleaned!$L$11+A50,FALSE)*100&gt;0,VLOOKUP($B$2,Overview_Salino_cleaned!$A$12:$CA$23,Overview_Salino_cleaned!$L$11+A50,FALSE)*100,"")</f>
        <v>25</v>
      </c>
      <c r="D50" s="280" t="s">
        <v>0</v>
      </c>
      <c r="E50" s="6" t="s">
        <v>22</v>
      </c>
      <c r="H50" s="6"/>
      <c r="I50" s="28"/>
      <c r="J50" s="1"/>
    </row>
    <row r="51" spans="1:16" ht="15.6" x14ac:dyDescent="0.3">
      <c r="A51" s="275">
        <v>1</v>
      </c>
      <c r="B51" s="275"/>
      <c r="C51" s="278">
        <f t="array" ref="C51">IF(VLOOKUP($B$2,Overview_Salino_cleaned!$A$12:$CA$23,Overview_Salino_cleaned!$L$11+A51,FALSE)*100&gt;0,VLOOKUP($B$2,Overview_Salino_cleaned!$A$12:$CA$23,Overview_Salino_cleaned!$L$11+A51,FALSE)*100,"")</f>
        <v>30</v>
      </c>
      <c r="D51" s="280" t="s">
        <v>0</v>
      </c>
      <c r="F51" s="28">
        <v>80</v>
      </c>
      <c r="G51" t="str">
        <f>IF(Units!B4=TRUE,"bar","psi")</f>
        <v>bar</v>
      </c>
      <c r="H51" s="6" t="s">
        <v>127</v>
      </c>
      <c r="I51" s="28">
        <f>(I46*(1+I48)+I49*('Design Tool'!P28/600)^2)</f>
        <v>3.8442176870748304</v>
      </c>
      <c r="J51" s="1" t="s">
        <v>116</v>
      </c>
    </row>
    <row r="52" spans="1:16" ht="14.4" x14ac:dyDescent="0.3">
      <c r="A52" s="275">
        <v>2</v>
      </c>
      <c r="B52" s="275"/>
      <c r="C52" s="278">
        <f t="array" ref="C52">IF(VLOOKUP($B$2,Overview_Salino_cleaned!$A$12:$CA$23,Overview_Salino_cleaned!$L$11+A52,FALSE)*100&gt;0,VLOOKUP($B$2,Overview_Salino_cleaned!$A$12:$CA$23,Overview_Salino_cleaned!$L$11+A52,FALSE)*100,"")</f>
        <v>35</v>
      </c>
      <c r="D52" s="280" t="s">
        <v>0</v>
      </c>
      <c r="F52" s="28">
        <v>120</v>
      </c>
      <c r="G52" t="str">
        <f>IF(Units!B4=TRUE,"bar","psi")</f>
        <v>bar</v>
      </c>
    </row>
    <row r="53" spans="1:16" ht="12.75" customHeight="1" x14ac:dyDescent="0.3">
      <c r="A53" s="275">
        <v>3</v>
      </c>
      <c r="B53" s="275"/>
      <c r="C53" s="278">
        <f t="array" ref="C53">IF(VLOOKUP($B$2,Overview_Salino_cleaned!$A$12:$CA$23,Overview_Salino_cleaned!$L$11+A53,FALSE)*100&gt;0,VLOOKUP($B$2,Overview_Salino_cleaned!$A$12:$CA$23,Overview_Salino_cleaned!$L$11+A53,FALSE)*100,"")</f>
        <v>40</v>
      </c>
      <c r="D53" s="280" t="s">
        <v>0</v>
      </c>
      <c r="H53" s="23" t="s">
        <v>70</v>
      </c>
      <c r="I53" s="285">
        <f>'Design Tool'!P16</f>
        <v>600</v>
      </c>
      <c r="J53" s="286">
        <f>I53+($O53-$I53)/6</f>
        <v>791.66666666666663</v>
      </c>
      <c r="K53" s="286">
        <f>J53+($O53-$I53)/6</f>
        <v>983.33333333333326</v>
      </c>
      <c r="L53" s="286">
        <f>K53+($O53-$I53)/6</f>
        <v>1175</v>
      </c>
      <c r="M53" s="286">
        <f>L53+($O53-$I53)/6</f>
        <v>1366.6666666666667</v>
      </c>
      <c r="N53" s="286">
        <f>M53+($O53-$I53)/6</f>
        <v>1558.3333333333335</v>
      </c>
      <c r="O53" s="285">
        <f>'Design Tool'!P17</f>
        <v>1750</v>
      </c>
      <c r="P53" s="285"/>
    </row>
    <row r="54" spans="1:16" ht="15.6" x14ac:dyDescent="0.3">
      <c r="A54" s="275">
        <v>4</v>
      </c>
      <c r="B54" s="275"/>
      <c r="C54" s="278">
        <f t="array" ref="C54">IF(VLOOKUP($B$2,Overview_Salino_cleaned!$A$12:$CA$23,Overview_Salino_cleaned!$L$11+A54,FALSE)*100&gt;0,VLOOKUP($B$2,Overview_Salino_cleaned!$A$12:$CA$23,Overview_Salino_cleaned!$L$11+A54,FALSE)*100,"")</f>
        <v>45</v>
      </c>
      <c r="D54" s="280" t="s">
        <v>0</v>
      </c>
      <c r="E54" s="6" t="s">
        <v>126</v>
      </c>
      <c r="G54">
        <f>ROUNDUP(D29/'Design Tool'!P17,0)</f>
        <v>1</v>
      </c>
      <c r="H54" s="1" t="s">
        <v>433</v>
      </c>
      <c r="I54" s="2">
        <f>I46</f>
        <v>3</v>
      </c>
      <c r="J54" s="2">
        <f t="shared" ref="J54:O54" si="0">I54</f>
        <v>3</v>
      </c>
      <c r="K54" s="2">
        <f t="shared" si="0"/>
        <v>3</v>
      </c>
      <c r="L54" s="2">
        <f t="shared" si="0"/>
        <v>3</v>
      </c>
      <c r="M54" s="2">
        <f t="shared" si="0"/>
        <v>3</v>
      </c>
      <c r="N54" s="2">
        <f t="shared" si="0"/>
        <v>3</v>
      </c>
      <c r="O54" s="2">
        <f t="shared" si="0"/>
        <v>3</v>
      </c>
      <c r="P54" s="2"/>
    </row>
    <row r="55" spans="1:16" ht="14.4" x14ac:dyDescent="0.3">
      <c r="A55" s="275">
        <v>5</v>
      </c>
      <c r="B55" s="275"/>
      <c r="C55" s="278">
        <f t="array" ref="C55">IF(VLOOKUP($B$2,Overview_Salino_cleaned!$A$12:$CA$23,Overview_Salino_cleaned!$L$11+A55,FALSE)*100&gt;0,VLOOKUP($B$2,Overview_Salino_cleaned!$A$12:$CA$23,Overview_Salino_cleaned!$L$11+A55,FALSE)*100,"")</f>
        <v>50</v>
      </c>
      <c r="D55" s="280" t="s">
        <v>0</v>
      </c>
      <c r="H55" s="1" t="s">
        <v>434</v>
      </c>
      <c r="I55" s="2">
        <f>I54*(1+I48)</f>
        <v>3.3000000000000003</v>
      </c>
      <c r="J55" s="2">
        <f t="shared" ref="J55:O55" si="1">J54*1.1</f>
        <v>3.3000000000000003</v>
      </c>
      <c r="K55" s="2">
        <f t="shared" si="1"/>
        <v>3.3000000000000003</v>
      </c>
      <c r="L55" s="2">
        <f t="shared" si="1"/>
        <v>3.3000000000000003</v>
      </c>
      <c r="M55" s="2">
        <f t="shared" si="1"/>
        <v>3.3000000000000003</v>
      </c>
      <c r="N55" s="2">
        <f t="shared" si="1"/>
        <v>3.3000000000000003</v>
      </c>
      <c r="O55" s="2">
        <f t="shared" si="1"/>
        <v>3.3000000000000003</v>
      </c>
      <c r="P55" s="2"/>
    </row>
    <row r="56" spans="1:16" ht="15.6" x14ac:dyDescent="0.3">
      <c r="A56" s="275">
        <v>6</v>
      </c>
      <c r="B56" s="275"/>
      <c r="C56" s="278">
        <f t="array" ref="C56">IF(VLOOKUP($B$2,Overview_Salino_cleaned!$A$12:$CA$23,Overview_Salino_cleaned!$L$11+A56,FALSE)*100&gt;0,VLOOKUP($B$2,Overview_Salino_cleaned!$A$12:$CA$23,Overview_Salino_cleaned!$L$11+A56,FALSE)*100,"")</f>
        <v>55.000000000000007</v>
      </c>
      <c r="D56" s="280" t="s">
        <v>0</v>
      </c>
      <c r="H56" s="6" t="s">
        <v>432</v>
      </c>
      <c r="I56" s="22">
        <f>$I55+(I53/$I53)^2*$I49</f>
        <v>3.45</v>
      </c>
      <c r="J56" s="22">
        <f t="shared" ref="J56:O56" si="2">$I55+(J53/$I53)^2*$I49</f>
        <v>3.5611400462962965</v>
      </c>
      <c r="K56" s="22">
        <f t="shared" si="2"/>
        <v>3.7028935185185188</v>
      </c>
      <c r="L56" s="22">
        <f t="shared" si="2"/>
        <v>3.8752604166666669</v>
      </c>
      <c r="M56" s="22">
        <f t="shared" si="2"/>
        <v>4.0782407407407408</v>
      </c>
      <c r="N56" s="22">
        <f t="shared" si="2"/>
        <v>4.3118344907407415</v>
      </c>
      <c r="O56" s="22">
        <f t="shared" si="2"/>
        <v>4.5760416666666668</v>
      </c>
      <c r="P56" s="22"/>
    </row>
    <row r="57" spans="1:16" ht="15.6" x14ac:dyDescent="0.3">
      <c r="A57" s="275">
        <v>7</v>
      </c>
      <c r="B57" s="275"/>
      <c r="C57" s="278" t="str">
        <f t="array" ref="C57">IF(VLOOKUP($B$2,Overview_Salino_cleaned!$A$12:$CA$23,Overview_Salino_cleaned!$L$11+A57,FALSE)*100&gt;0,VLOOKUP($B$2,Overview_Salino_cleaned!$A$12:$CA$23,Overview_Salino_cleaned!$L$11+A57,FALSE)*100,"")</f>
        <v/>
      </c>
      <c r="D57" s="280"/>
      <c r="E57" s="6" t="s">
        <v>163</v>
      </c>
      <c r="F57">
        <f>IF('Design Tool'!G34="- none -",1,2)</f>
        <v>1</v>
      </c>
    </row>
    <row r="58" spans="1:16" ht="14.4" x14ac:dyDescent="0.3">
      <c r="A58" s="275">
        <v>8</v>
      </c>
      <c r="B58" s="275"/>
      <c r="C58" s="278" t="str">
        <f t="array" ref="C58">IF(VLOOKUP($B$2,Overview_Salino_cleaned!$A$12:$CA$23,Overview_Salino_cleaned!$L$11+A58,FALSE)*100&gt;0,VLOOKUP($B$2,Overview_Salino_cleaned!$A$12:$CA$23,Overview_Salino_cleaned!$L$11+A58,FALSE)*100,"")</f>
        <v/>
      </c>
      <c r="D58" s="280"/>
    </row>
    <row r="59" spans="1:16" ht="14.4" x14ac:dyDescent="0.3">
      <c r="A59" s="275">
        <v>9</v>
      </c>
      <c r="B59" s="275"/>
      <c r="C59" s="278" t="str">
        <f t="array" ref="C59">IF(VLOOKUP($B$2,Overview_Salino_cleaned!$A$12:$CA$23,Overview_Salino_cleaned!$L$11+A59,FALSE)*100&gt;0,VLOOKUP($B$2,Overview_Salino_cleaned!$A$12:$CA$23,Overview_Salino_cleaned!$L$11+A59,FALSE)*100,"")</f>
        <v/>
      </c>
      <c r="D59" s="280"/>
    </row>
    <row r="60" spans="1:16" ht="14.4" x14ac:dyDescent="0.3">
      <c r="A60" s="275">
        <v>10</v>
      </c>
      <c r="B60" s="275"/>
      <c r="C60" s="278" t="str">
        <f t="array" ref="C60">IF(VLOOKUP($B$2,Overview_Salino_cleaned!$A$12:$CA$23,Overview_Salino_cleaned!$L$11+A60,FALSE)*100&gt;0,VLOOKUP($B$2,Overview_Salino_cleaned!$A$12:$CA$23,Overview_Salino_cleaned!$L$11+A60,FALSE)*100,"")</f>
        <v/>
      </c>
      <c r="D60" s="280"/>
      <c r="F60" s="1" t="s">
        <v>595</v>
      </c>
    </row>
    <row r="61" spans="1:16" x14ac:dyDescent="0.25">
      <c r="D61" s="8"/>
      <c r="F61" t="str">
        <f>F60&amp;" "&amp;B2&amp;" "</f>
        <v xml:space="preserve">SALINO® 250 </v>
      </c>
    </row>
    <row r="62" spans="1:16" x14ac:dyDescent="0.25">
      <c r="D62" s="8"/>
    </row>
    <row r="63" spans="1:16" x14ac:dyDescent="0.25">
      <c r="D63" s="8"/>
      <c r="F63" t="s">
        <v>468</v>
      </c>
    </row>
    <row r="64" spans="1:16" x14ac:dyDescent="0.25">
      <c r="D64" s="8"/>
    </row>
    <row r="65" spans="1:26" x14ac:dyDescent="0.25">
      <c r="B65" s="1" t="s">
        <v>441</v>
      </c>
      <c r="C65" s="1" t="s">
        <v>442</v>
      </c>
      <c r="D65" s="8"/>
      <c r="F65" t="str">
        <f>F61&amp;F63</f>
        <v>SALINO® 250 Pressure Center _x000B_pressure limits Feed side</v>
      </c>
    </row>
    <row r="66" spans="1:26" x14ac:dyDescent="0.25">
      <c r="C66" s="1" t="s">
        <v>443</v>
      </c>
      <c r="D66" s="8"/>
    </row>
    <row r="67" spans="1:26" x14ac:dyDescent="0.25">
      <c r="C67" s="1" t="s">
        <v>444</v>
      </c>
      <c r="D67" s="8"/>
    </row>
    <row r="68" spans="1:26" x14ac:dyDescent="0.25">
      <c r="C68" s="1" t="s">
        <v>445</v>
      </c>
      <c r="D68" s="8"/>
    </row>
    <row r="69" spans="1:26" x14ac:dyDescent="0.25">
      <c r="D69" s="8"/>
    </row>
    <row r="70" spans="1:26" x14ac:dyDescent="0.25">
      <c r="D70" s="8"/>
    </row>
    <row r="71" spans="1:26" x14ac:dyDescent="0.25">
      <c r="C71" s="1" t="s">
        <v>598</v>
      </c>
      <c r="D71" s="8"/>
    </row>
    <row r="72" spans="1:26" ht="14.4" x14ac:dyDescent="0.3">
      <c r="C72" s="230" t="s">
        <v>538</v>
      </c>
      <c r="D72" s="278">
        <f>VLOOKUP($B$2,Overview_Salino_cleaned!$A$12:$CA$23,Overview_Salino_cleaned!AF11,FALSE)</f>
        <v>20</v>
      </c>
    </row>
    <row r="73" spans="1:26" ht="14.4" x14ac:dyDescent="0.3">
      <c r="C73" s="230" t="s">
        <v>539</v>
      </c>
      <c r="D73" s="278">
        <f>VLOOKUP($B$2,Overview_Salino_cleaned!$A$12:$CA$23,Overview_Salino_cleaned!AG11,FALSE)</f>
        <v>80</v>
      </c>
    </row>
    <row r="74" spans="1:26" ht="14.4" x14ac:dyDescent="0.3">
      <c r="C74" s="230" t="s">
        <v>540</v>
      </c>
      <c r="D74" s="278">
        <f>VLOOKUP($B$2,Overview_Salino_cleaned!$A$12:$CA$23,Overview_Salino_cleaned!AH11,FALSE)</f>
        <v>120</v>
      </c>
    </row>
    <row r="75" spans="1:26" x14ac:dyDescent="0.25">
      <c r="D75" s="8"/>
    </row>
    <row r="76" spans="1:26" ht="14.4" x14ac:dyDescent="0.3">
      <c r="C76" s="282" t="s">
        <v>599</v>
      </c>
      <c r="D76" s="8"/>
    </row>
    <row r="77" spans="1:26" ht="14.4" x14ac:dyDescent="0.3">
      <c r="C77" s="230" t="s">
        <v>538</v>
      </c>
      <c r="D77" s="278">
        <f>VLOOKUP($B$2,Overview_Salino_cleaned!$A$12:$CA$23,Overview_Salino_cleaned!AJ11,FALSE)</f>
        <v>2.5</v>
      </c>
    </row>
    <row r="78" spans="1:26" ht="14.4" x14ac:dyDescent="0.3">
      <c r="C78" s="230" t="s">
        <v>537</v>
      </c>
      <c r="D78" s="278">
        <f>VLOOKUP($B$2,Overview_Salino_cleaned!$A$12:$CA$23,Overview_Salino_cleaned!AK11,FALSE)</f>
        <v>4</v>
      </c>
    </row>
    <row r="79" spans="1:26" ht="15" x14ac:dyDescent="0.25">
      <c r="D79" s="8"/>
      <c r="H79" s="23" t="s">
        <v>70</v>
      </c>
      <c r="I79" s="285">
        <f>I53</f>
        <v>600</v>
      </c>
      <c r="J79" s="286">
        <f>I79+($O79-$I79)/6</f>
        <v>791.66666666666663</v>
      </c>
      <c r="K79" s="286">
        <f>J79+($O79-$I79)/6</f>
        <v>983.33333333333326</v>
      </c>
      <c r="L79" s="286">
        <f>K79+($O79-$I79)/6</f>
        <v>1175</v>
      </c>
      <c r="M79" s="286">
        <f>L79+($O79-$I79)/6</f>
        <v>1366.6666666666667</v>
      </c>
      <c r="N79" s="286">
        <f>M79+($O79-$I79)/6</f>
        <v>1558.3333333333335</v>
      </c>
      <c r="O79" s="285">
        <f>O53</f>
        <v>1750</v>
      </c>
      <c r="P79" s="292">
        <f>D30</f>
        <v>1142.8571428571433</v>
      </c>
      <c r="Q79" t="s">
        <v>463</v>
      </c>
      <c r="R79" s="1" t="s">
        <v>604</v>
      </c>
      <c r="S79" s="285">
        <f>I79</f>
        <v>600</v>
      </c>
      <c r="T79" s="286">
        <f>S79+($O79-$I79)/6</f>
        <v>791.66666666666663</v>
      </c>
      <c r="U79" s="286">
        <f>T79+($O79-$I79)/6</f>
        <v>983.33333333333326</v>
      </c>
      <c r="V79" s="286">
        <f>U79+($O79-$I79)/6</f>
        <v>1175</v>
      </c>
      <c r="W79" s="286">
        <f>V79+($O79-$I79)/6</f>
        <v>1366.6666666666667</v>
      </c>
      <c r="X79" s="286">
        <f>W79+($O79-$I79)/6</f>
        <v>1558.3333333333335</v>
      </c>
      <c r="Y79" s="285">
        <f>O79</f>
        <v>1750</v>
      </c>
      <c r="Z79" t="s">
        <v>463</v>
      </c>
    </row>
    <row r="80" spans="1:26" x14ac:dyDescent="0.25">
      <c r="A80" s="1" t="s">
        <v>603</v>
      </c>
      <c r="B80" s="278">
        <f>VLOOKUP($B$2,Overview_Salino_cleaned!$A$12:$CA$23,Overview_Salino_cleaned!AA11,FALSE)</f>
        <v>50000</v>
      </c>
      <c r="C80" s="3" t="s">
        <v>600</v>
      </c>
      <c r="D80" s="278">
        <f>VLOOKUP($B$2,Overview_Salino_cleaned!$A$12:$CA$23,Overview_Salino_cleaned!Y11,FALSE)</f>
        <v>2</v>
      </c>
      <c r="F80" s="1" t="s">
        <v>605</v>
      </c>
      <c r="G80" s="1" t="s">
        <v>623</v>
      </c>
      <c r="H80" t="str">
        <f>F80&amp;R80&amp;G80</f>
        <v>pump flow (5:1 m³/hr per unit)</v>
      </c>
      <c r="I80" s="2">
        <f t="shared" ref="I80:O80" si="3">I79*$J6/1000*60/1000*$R80</f>
        <v>40.5</v>
      </c>
      <c r="J80" s="2">
        <f t="shared" si="3"/>
        <v>53.4375</v>
      </c>
      <c r="K80" s="2">
        <f t="shared" si="3"/>
        <v>66.375</v>
      </c>
      <c r="L80" s="2">
        <f t="shared" si="3"/>
        <v>79.3125</v>
      </c>
      <c r="M80" s="2">
        <f t="shared" si="3"/>
        <v>92.25</v>
      </c>
      <c r="N80" s="2">
        <f t="shared" si="3"/>
        <v>105.18750000000003</v>
      </c>
      <c r="O80" s="2">
        <f t="shared" si="3"/>
        <v>118.125</v>
      </c>
      <c r="P80" s="22">
        <f>O80/O79*P79</f>
        <v>77.142857142857181</v>
      </c>
      <c r="Q80" t="s">
        <v>464</v>
      </c>
      <c r="R80" s="4">
        <f>IF((Y82/Y80)&gt;90,100,IF((Y82/Y80)&gt;8,10,IF((Y82/Y80)&gt;4,5,IF((Y82/Y80)&gt;1.8,2,1))))</f>
        <v>5</v>
      </c>
      <c r="S80" s="2">
        <f>S79*$J6/1000*60/1000</f>
        <v>8.1</v>
      </c>
      <c r="T80" s="2">
        <f t="shared" ref="T80:Y80" si="4">T79*$J6/1000*60/1000</f>
        <v>10.6875</v>
      </c>
      <c r="U80" s="2">
        <f t="shared" si="4"/>
        <v>13.274999999999999</v>
      </c>
      <c r="V80" s="2">
        <f t="shared" si="4"/>
        <v>15.862500000000001</v>
      </c>
      <c r="W80" s="2">
        <f t="shared" si="4"/>
        <v>18.45</v>
      </c>
      <c r="X80" s="2">
        <f t="shared" si="4"/>
        <v>21.037500000000005</v>
      </c>
      <c r="Y80" s="2">
        <f t="shared" si="4"/>
        <v>23.625</v>
      </c>
      <c r="Z80" t="s">
        <v>464</v>
      </c>
    </row>
    <row r="81" spans="1:26" x14ac:dyDescent="0.25">
      <c r="A81" s="1"/>
      <c r="C81" s="3" t="s">
        <v>24</v>
      </c>
      <c r="D81" s="278">
        <f>VLOOKUP($B$2,Overview_Salino_cleaned!$A$12:$CA$23,Overview_Salino_cleaned!Z11,FALSE)</f>
        <v>50</v>
      </c>
      <c r="F81" s="206"/>
      <c r="G81" s="205"/>
      <c r="H81" s="1" t="s">
        <v>466</v>
      </c>
      <c r="I81" s="22">
        <v>80</v>
      </c>
      <c r="J81" s="22">
        <f t="shared" ref="J81:O82" si="5">I81</f>
        <v>80</v>
      </c>
      <c r="K81" s="22">
        <f t="shared" si="5"/>
        <v>80</v>
      </c>
      <c r="L81" s="22">
        <f t="shared" si="5"/>
        <v>80</v>
      </c>
      <c r="M81" s="22">
        <f t="shared" si="5"/>
        <v>80</v>
      </c>
      <c r="N81" s="22">
        <f t="shared" si="5"/>
        <v>80</v>
      </c>
      <c r="O81" s="22">
        <f t="shared" si="5"/>
        <v>80</v>
      </c>
      <c r="P81" s="22"/>
      <c r="Q81" t="s">
        <v>116</v>
      </c>
      <c r="S81" s="22">
        <v>80</v>
      </c>
      <c r="T81" s="22">
        <f t="shared" ref="T81:Y82" si="6">S81</f>
        <v>80</v>
      </c>
      <c r="U81" s="22">
        <f t="shared" si="6"/>
        <v>80</v>
      </c>
      <c r="V81" s="22">
        <f t="shared" si="6"/>
        <v>80</v>
      </c>
      <c r="W81" s="22">
        <f t="shared" si="6"/>
        <v>80</v>
      </c>
      <c r="X81" s="22">
        <f t="shared" si="6"/>
        <v>80</v>
      </c>
      <c r="Y81" s="22">
        <f t="shared" si="6"/>
        <v>80</v>
      </c>
      <c r="Z81" t="s">
        <v>116</v>
      </c>
    </row>
    <row r="82" spans="1:26" x14ac:dyDescent="0.25">
      <c r="C82" s="152" t="s">
        <v>26</v>
      </c>
      <c r="D82" s="278">
        <f>VLOOKUP($B$2,Overview_Salino_cleaned!$A$12:$CA$23,Overview_Salino_cleaned!W11,FALSE)</f>
        <v>600</v>
      </c>
      <c r="H82" s="1" t="s">
        <v>467</v>
      </c>
      <c r="I82" s="22">
        <v>120</v>
      </c>
      <c r="J82" s="22">
        <f t="shared" si="5"/>
        <v>120</v>
      </c>
      <c r="K82" s="22">
        <f t="shared" si="5"/>
        <v>120</v>
      </c>
      <c r="L82" s="22">
        <f t="shared" si="5"/>
        <v>120</v>
      </c>
      <c r="M82" s="22">
        <f t="shared" si="5"/>
        <v>120</v>
      </c>
      <c r="N82" s="22">
        <f t="shared" si="5"/>
        <v>120</v>
      </c>
      <c r="O82" s="22">
        <f t="shared" si="5"/>
        <v>120</v>
      </c>
      <c r="P82" s="22"/>
      <c r="Q82" t="s">
        <v>116</v>
      </c>
      <c r="S82" s="22">
        <v>120</v>
      </c>
      <c r="T82" s="22">
        <f t="shared" si="6"/>
        <v>120</v>
      </c>
      <c r="U82" s="22">
        <f t="shared" si="6"/>
        <v>120</v>
      </c>
      <c r="V82" s="22">
        <f t="shared" si="6"/>
        <v>120</v>
      </c>
      <c r="W82" s="22">
        <f t="shared" si="6"/>
        <v>120</v>
      </c>
      <c r="X82" s="22">
        <f t="shared" si="6"/>
        <v>120</v>
      </c>
      <c r="Y82" s="22">
        <f t="shared" si="6"/>
        <v>120</v>
      </c>
      <c r="Z82" t="s">
        <v>116</v>
      </c>
    </row>
    <row r="83" spans="1:26" x14ac:dyDescent="0.25">
      <c r="C83" s="152" t="s">
        <v>95</v>
      </c>
      <c r="D83" s="278">
        <f>VLOOKUP($B$2,Overview_Salino_cleaned!$A$12:$CA$23,Overview_Salino_cleaned!X11,FALSE)</f>
        <v>1750</v>
      </c>
      <c r="G83" s="1" t="s">
        <v>609</v>
      </c>
      <c r="H83" t="str">
        <f>G83&amp;F88&amp;C84&amp;D84&amp;E84&amp;F84&amp;" bar ["&amp;R80&amp;":1 KW per unit]"</f>
        <v>design caseSALINO® 250 RR 35% @ 55 bar [5:1 KW per unit]</v>
      </c>
      <c r="P83" s="291">
        <f>$D37*R80/G54</f>
        <v>58.463185802097314</v>
      </c>
      <c r="S83" s="22"/>
      <c r="T83" s="22"/>
      <c r="U83" s="22"/>
      <c r="V83" s="22"/>
      <c r="W83" s="22"/>
      <c r="X83" s="22"/>
      <c r="Y83" s="22"/>
    </row>
    <row r="84" spans="1:26" x14ac:dyDescent="0.25">
      <c r="C84" s="205" t="s">
        <v>475</v>
      </c>
      <c r="D84" s="290">
        <f>D6</f>
        <v>35</v>
      </c>
      <c r="E84" s="205" t="s">
        <v>476</v>
      </c>
      <c r="F84" s="9">
        <f>D7</f>
        <v>55</v>
      </c>
      <c r="G84" s="68" t="s">
        <v>608</v>
      </c>
      <c r="H84" s="68" t="str">
        <f>C84&amp;D84&amp;E84&amp;F84&amp;G84&amp;R80&amp;":1 KW per unit]"</f>
        <v>RR 35% @ 55 bar shaft-power demand [5:1 KW per unit]</v>
      </c>
      <c r="I84" s="291">
        <f t="shared" ref="I84:O84" si="7">S84*$R80</f>
        <v>30.693172546101074</v>
      </c>
      <c r="J84" s="291">
        <f t="shared" si="7"/>
        <v>40.497935998327812</v>
      </c>
      <c r="K84" s="291">
        <f t="shared" si="7"/>
        <v>50.302699450554542</v>
      </c>
      <c r="L84" s="291">
        <f t="shared" si="7"/>
        <v>60.107462902781272</v>
      </c>
      <c r="M84" s="291">
        <f t="shared" si="7"/>
        <v>69.912226355008016</v>
      </c>
      <c r="N84" s="291">
        <f t="shared" si="7"/>
        <v>79.716989807234754</v>
      </c>
      <c r="O84" s="291">
        <f t="shared" si="7"/>
        <v>89.521753259461462</v>
      </c>
      <c r="Q84" s="1" t="s">
        <v>424</v>
      </c>
      <c r="S84" s="291">
        <f>$D37/$D30/$G54*S79</f>
        <v>6.138634509220215</v>
      </c>
      <c r="T84" s="291">
        <f t="shared" ref="T84:Y84" si="8">$D37/$D30/$G54*T79</f>
        <v>8.099587199665562</v>
      </c>
      <c r="U84" s="291">
        <f t="shared" si="8"/>
        <v>10.060539890110908</v>
      </c>
      <c r="V84" s="291">
        <f t="shared" si="8"/>
        <v>12.021492580556254</v>
      </c>
      <c r="W84" s="291">
        <f t="shared" si="8"/>
        <v>13.982445271001602</v>
      </c>
      <c r="X84" s="291">
        <f t="shared" si="8"/>
        <v>15.94339796144695</v>
      </c>
      <c r="Y84" s="291">
        <f t="shared" si="8"/>
        <v>17.904350651892294</v>
      </c>
      <c r="Z84" s="1" t="s">
        <v>424</v>
      </c>
    </row>
    <row r="85" spans="1:26" x14ac:dyDescent="0.25">
      <c r="C85" s="147" t="s">
        <v>601</v>
      </c>
      <c r="D85" s="8"/>
    </row>
    <row r="86" spans="1:26" ht="14.4" x14ac:dyDescent="0.3">
      <c r="C86" s="230" t="s">
        <v>537</v>
      </c>
      <c r="D86" s="278">
        <f>VLOOKUP($B$2,Overview_Salino_cleaned!$A$12:$CA$23,Overview_Salino_cleaned!AL11,FALSE)</f>
        <v>0.75</v>
      </c>
    </row>
    <row r="88" spans="1:26" x14ac:dyDescent="0.25">
      <c r="F88" t="str">
        <f>F61</f>
        <v xml:space="preserve">SALINO® 250 </v>
      </c>
    </row>
    <row r="89" spans="1:26" x14ac:dyDescent="0.25">
      <c r="B89" s="1" t="s">
        <v>172</v>
      </c>
      <c r="C89" s="1" t="s">
        <v>175</v>
      </c>
    </row>
    <row r="90" spans="1:26" x14ac:dyDescent="0.25">
      <c r="C90" s="1" t="s">
        <v>174</v>
      </c>
      <c r="F90" t="s">
        <v>469</v>
      </c>
    </row>
    <row r="91" spans="1:26" x14ac:dyDescent="0.25">
      <c r="C91" s="1" t="s">
        <v>208</v>
      </c>
    </row>
    <row r="92" spans="1:26" x14ac:dyDescent="0.25">
      <c r="F92" t="str">
        <f>F88&amp;F90</f>
        <v xml:space="preserve">SALINO® 250 Pressure Center _x000B_performance range HP OUT </v>
      </c>
    </row>
    <row r="95" spans="1:26" x14ac:dyDescent="0.25">
      <c r="B95" s="1" t="s">
        <v>203</v>
      </c>
      <c r="C95" s="1" t="s">
        <v>173</v>
      </c>
    </row>
    <row r="96" spans="1:26" x14ac:dyDescent="0.25">
      <c r="C96" s="1" t="s">
        <v>174</v>
      </c>
    </row>
    <row r="97" spans="3:6" x14ac:dyDescent="0.25">
      <c r="C97" s="1" t="s">
        <v>204</v>
      </c>
    </row>
    <row r="105" spans="3:6" x14ac:dyDescent="0.25">
      <c r="F105" t="s">
        <v>471</v>
      </c>
    </row>
    <row r="111" spans="3:6" x14ac:dyDescent="0.25">
      <c r="F111" t="str">
        <f>F88</f>
        <v xml:space="preserve">SALINO® 250 </v>
      </c>
    </row>
    <row r="113" spans="6:9" x14ac:dyDescent="0.25">
      <c r="F113" t="s">
        <v>470</v>
      </c>
    </row>
    <row r="115" spans="6:9" x14ac:dyDescent="0.25">
      <c r="F115" t="str">
        <f>F111&amp;F113</f>
        <v>SALINO® 250 Pressure Center _x000B_criterias HP IN</v>
      </c>
    </row>
    <row r="123" spans="6:9" ht="14.4" x14ac:dyDescent="0.3">
      <c r="F123" t="s">
        <v>472</v>
      </c>
      <c r="H123" s="288" t="s">
        <v>606</v>
      </c>
      <c r="I123" t="str">
        <f>H123&amp;D77&amp;" and "&amp;D78&amp;" bar"</f>
        <v>- back-pressure range between 2,5 and 4 bar</v>
      </c>
    </row>
    <row r="129" spans="6:17" x14ac:dyDescent="0.25">
      <c r="F129" t="str">
        <f>F111</f>
        <v xml:space="preserve">SALINO® 250 </v>
      </c>
    </row>
    <row r="131" spans="6:17" x14ac:dyDescent="0.25">
      <c r="F131" t="s">
        <v>473</v>
      </c>
    </row>
    <row r="133" spans="6:17" x14ac:dyDescent="0.25">
      <c r="F133" t="str">
        <f>F129&amp;F131</f>
        <v>SALINO® 250 Pressure Center _x000B_criterias LP Out</v>
      </c>
    </row>
    <row r="141" spans="6:17" x14ac:dyDescent="0.25">
      <c r="F141" t="s">
        <v>474</v>
      </c>
    </row>
    <row r="143" spans="6:17" ht="15" x14ac:dyDescent="0.25">
      <c r="G143">
        <v>90</v>
      </c>
      <c r="H143" s="23" t="s">
        <v>70</v>
      </c>
      <c r="I143" s="285">
        <f>I79</f>
        <v>600</v>
      </c>
      <c r="J143" s="286">
        <f>I143+($O143-$I143)/6</f>
        <v>791.66666666666663</v>
      </c>
      <c r="K143" s="286">
        <f>J143+($O143-$I143)/6</f>
        <v>983.33333333333326</v>
      </c>
      <c r="L143" s="286">
        <f>K143+($O143-$I143)/6</f>
        <v>1175</v>
      </c>
      <c r="M143" s="286">
        <f>L143+($O143-$I143)/6</f>
        <v>1366.6666666666667</v>
      </c>
      <c r="N143" s="286">
        <f>M143+($O143-$I143)/6</f>
        <v>1558.3333333333335</v>
      </c>
      <c r="O143" s="285">
        <f>O79</f>
        <v>1750</v>
      </c>
      <c r="P143" s="285"/>
      <c r="Q143" t="s">
        <v>463</v>
      </c>
    </row>
    <row r="144" spans="6:17" x14ac:dyDescent="0.25">
      <c r="H144" t="s">
        <v>465</v>
      </c>
      <c r="I144" s="2">
        <f>I143*$J6/1000*60/1000</f>
        <v>8.1</v>
      </c>
      <c r="J144" s="2">
        <f t="shared" ref="J144:O144" si="9">J143*$J6/1000*60/1000</f>
        <v>10.6875</v>
      </c>
      <c r="K144" s="2">
        <f t="shared" si="9"/>
        <v>13.274999999999999</v>
      </c>
      <c r="L144" s="2">
        <f t="shared" si="9"/>
        <v>15.862500000000001</v>
      </c>
      <c r="M144" s="2">
        <f t="shared" si="9"/>
        <v>18.45</v>
      </c>
      <c r="N144" s="2">
        <f t="shared" si="9"/>
        <v>21.037500000000005</v>
      </c>
      <c r="O144" s="2">
        <f t="shared" si="9"/>
        <v>23.625</v>
      </c>
      <c r="P144" s="2"/>
      <c r="Q144" t="s">
        <v>464</v>
      </c>
    </row>
    <row r="145" spans="3:17" x14ac:dyDescent="0.25">
      <c r="C145" t="s">
        <v>475</v>
      </c>
      <c r="D145" s="208">
        <v>25</v>
      </c>
      <c r="E145" t="s">
        <v>476</v>
      </c>
      <c r="F145">
        <v>80</v>
      </c>
      <c r="G145" s="289" t="s">
        <v>607</v>
      </c>
      <c r="H145" s="1" t="str">
        <f>C145&amp;D145&amp;E145&amp;F145&amp;G145</f>
        <v>RR 25% @ 80 bar shaft-power demand [KW]</v>
      </c>
      <c r="I145" s="22">
        <f>IF((I$144*($D145)/100*1000*$F145*10*9.81/3600/1000/0.9)&lt;=$G$143,(I$144*($D145)/100*1000*$F145*10*9.81/3600/1000/0.9),$G$143)</f>
        <v>4.9050000000000002</v>
      </c>
      <c r="J145" s="22">
        <f t="shared" ref="J145:O145" si="10">IF((J$144*($D145)/100*1000*$F145*10*9.81/3600/1000/0.9)&lt;=$G$143,(J$144*($D145)/100*1000*$F145*10*9.81/3600/1000/0.9),$G$143)</f>
        <v>6.4718749999999989</v>
      </c>
      <c r="K145" s="22">
        <f t="shared" si="10"/>
        <v>8.0387499999999985</v>
      </c>
      <c r="L145" s="22">
        <f t="shared" si="10"/>
        <v>9.6056249999999999</v>
      </c>
      <c r="M145" s="22">
        <f t="shared" si="10"/>
        <v>11.172499999999999</v>
      </c>
      <c r="N145" s="22">
        <f t="shared" si="10"/>
        <v>12.739375000000004</v>
      </c>
      <c r="O145" s="22">
        <f t="shared" si="10"/>
        <v>14.306249999999999</v>
      </c>
      <c r="P145" s="22"/>
      <c r="Q145" t="s">
        <v>424</v>
      </c>
    </row>
    <row r="146" spans="3:17" x14ac:dyDescent="0.25">
      <c r="C146" t="s">
        <v>475</v>
      </c>
      <c r="D146" s="207">
        <v>40</v>
      </c>
      <c r="E146" t="s">
        <v>476</v>
      </c>
      <c r="F146">
        <v>80</v>
      </c>
      <c r="G146" s="289" t="s">
        <v>607</v>
      </c>
      <c r="H146" s="1" t="str">
        <f>C146&amp;D146&amp;E146&amp;F146&amp;G146</f>
        <v>RR 40% @ 80 bar shaft-power demand [KW]</v>
      </c>
      <c r="I146" s="22">
        <f t="shared" ref="I146:O148" si="11">IF((I$144*($D146)/100*1000*$F146*10*9.81/3600/1000/0.9)&lt;=$G$143,(I$144*($D146)/100*1000*$F146*10*9.81/3600/1000/0.9),$G$143)</f>
        <v>7.8479999999999999</v>
      </c>
      <c r="J146" s="22">
        <f t="shared" si="11"/>
        <v>10.354999999999999</v>
      </c>
      <c r="K146" s="22">
        <f t="shared" si="11"/>
        <v>12.861999999999998</v>
      </c>
      <c r="L146" s="22">
        <f t="shared" si="11"/>
        <v>15.369</v>
      </c>
      <c r="M146" s="22">
        <f t="shared" si="11"/>
        <v>17.876000000000001</v>
      </c>
      <c r="N146" s="22">
        <f t="shared" si="11"/>
        <v>20.383000000000003</v>
      </c>
      <c r="O146" s="22">
        <f t="shared" si="11"/>
        <v>22.889999999999997</v>
      </c>
      <c r="P146" s="22"/>
      <c r="Q146" t="s">
        <v>424</v>
      </c>
    </row>
    <row r="147" spans="3:17" x14ac:dyDescent="0.25">
      <c r="C147" t="s">
        <v>475</v>
      </c>
      <c r="D147" s="207">
        <v>55</v>
      </c>
      <c r="E147" t="s">
        <v>476</v>
      </c>
      <c r="F147">
        <v>80</v>
      </c>
      <c r="G147" s="289" t="s">
        <v>607</v>
      </c>
      <c r="H147" s="1" t="str">
        <f>C147&amp;D147&amp;E147&amp;F147&amp;G147</f>
        <v>RR 55% @ 80 bar shaft-power demand [KW]</v>
      </c>
      <c r="I147" s="22">
        <f t="shared" si="11"/>
        <v>10.791</v>
      </c>
      <c r="J147" s="22">
        <f t="shared" si="11"/>
        <v>14.238125</v>
      </c>
      <c r="K147" s="22">
        <f t="shared" si="11"/>
        <v>17.685249999999996</v>
      </c>
      <c r="L147" s="22">
        <f t="shared" si="11"/>
        <v>21.132375</v>
      </c>
      <c r="M147" s="22">
        <f t="shared" si="11"/>
        <v>24.579499999999999</v>
      </c>
      <c r="N147" s="22">
        <f t="shared" si="11"/>
        <v>28.02662500000001</v>
      </c>
      <c r="O147" s="22">
        <f t="shared" si="11"/>
        <v>31.473749999999999</v>
      </c>
      <c r="P147" s="22"/>
      <c r="Q147" t="s">
        <v>424</v>
      </c>
    </row>
    <row r="148" spans="3:17" x14ac:dyDescent="0.25">
      <c r="C148" t="s">
        <v>475</v>
      </c>
      <c r="D148" s="207">
        <v>75</v>
      </c>
      <c r="E148" t="s">
        <v>476</v>
      </c>
      <c r="F148">
        <v>80</v>
      </c>
      <c r="G148" s="289" t="s">
        <v>607</v>
      </c>
      <c r="H148" s="1" t="str">
        <f>C148&amp;D148&amp;E148&amp;F148&amp;G148</f>
        <v>RR 75% @ 80 bar shaft-power demand [KW]</v>
      </c>
      <c r="I148" s="22">
        <f t="shared" si="11"/>
        <v>14.714999999999998</v>
      </c>
      <c r="J148" s="22">
        <f t="shared" si="11"/>
        <v>19.415624999999999</v>
      </c>
      <c r="K148" s="22">
        <f t="shared" si="11"/>
        <v>24.116250000000001</v>
      </c>
      <c r="L148" s="22">
        <f t="shared" si="11"/>
        <v>28.816875</v>
      </c>
      <c r="M148" s="22">
        <f t="shared" si="11"/>
        <v>33.517499999999998</v>
      </c>
      <c r="N148" s="22">
        <f t="shared" si="11"/>
        <v>38.218125000000015</v>
      </c>
      <c r="O148" s="22">
        <f t="shared" si="11"/>
        <v>42.918749999999996</v>
      </c>
      <c r="P148" s="22"/>
      <c r="Q148" t="s">
        <v>424</v>
      </c>
    </row>
    <row r="152" spans="3:17" x14ac:dyDescent="0.25">
      <c r="F152" t="str">
        <f>F129</f>
        <v xml:space="preserve">SALINO® 250 </v>
      </c>
    </row>
    <row r="154" spans="3:17" x14ac:dyDescent="0.25">
      <c r="F154" t="s">
        <v>477</v>
      </c>
    </row>
    <row r="156" spans="3:17" x14ac:dyDescent="0.25">
      <c r="F156" t="str">
        <f>F154</f>
        <v>shaft-power demand [KW]</v>
      </c>
    </row>
  </sheetData>
  <customSheetViews>
    <customSheetView guid="{CA5DEE9B-8C07-4C66-8968-31FD351A4FB5}" state="hidden" topLeftCell="A66">
      <selection activeCell="C84" sqref="C84"/>
      <pageMargins left="0.7" right="0.7" top="0.78740157499999996" bottom="0.78740157499999996" header="0.3" footer="0.3"/>
      <pageSetup paperSize="9" orientation="portrait" r:id="rId1"/>
    </customSheetView>
  </customSheetViews>
  <pageMargins left="0.7" right="0.7" top="0.78740157499999996" bottom="0.78740157499999996"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E16"/>
  <sheetViews>
    <sheetView workbookViewId="0">
      <selection activeCell="B7" sqref="B7"/>
    </sheetView>
  </sheetViews>
  <sheetFormatPr baseColWidth="10" defaultRowHeight="13.2" x14ac:dyDescent="0.25"/>
  <cols>
    <col min="3" max="3" width="22" customWidth="1"/>
    <col min="5" max="5" width="12.5546875" customWidth="1"/>
  </cols>
  <sheetData>
    <row r="1" spans="1:5" ht="15" x14ac:dyDescent="0.25">
      <c r="A1" s="6" t="s">
        <v>108</v>
      </c>
    </row>
    <row r="2" spans="1:5" ht="15" x14ac:dyDescent="0.25">
      <c r="A2" s="6"/>
    </row>
    <row r="3" spans="1:5" ht="15" x14ac:dyDescent="0.25">
      <c r="A3" s="6"/>
      <c r="C3" s="25" t="s">
        <v>113</v>
      </c>
    </row>
    <row r="4" spans="1:5" x14ac:dyDescent="0.25">
      <c r="A4" s="1" t="s">
        <v>110</v>
      </c>
      <c r="B4" t="b">
        <v>1</v>
      </c>
      <c r="C4" s="24">
        <v>1</v>
      </c>
      <c r="D4" s="1" t="s">
        <v>116</v>
      </c>
      <c r="E4">
        <f>VLOOKUP(TRUE,B4:C5,2)</f>
        <v>1</v>
      </c>
    </row>
    <row r="5" spans="1:5" x14ac:dyDescent="0.25">
      <c r="A5" s="1"/>
      <c r="B5" t="b">
        <v>0</v>
      </c>
      <c r="C5" s="25">
        <f>1/0.0689475729</f>
        <v>14.503773779685869</v>
      </c>
      <c r="D5" s="1" t="s">
        <v>119</v>
      </c>
    </row>
    <row r="6" spans="1:5" x14ac:dyDescent="0.25">
      <c r="A6" s="1"/>
      <c r="C6" s="24"/>
    </row>
    <row r="7" spans="1:5" x14ac:dyDescent="0.25">
      <c r="A7" s="1" t="s">
        <v>111</v>
      </c>
      <c r="B7" t="b">
        <v>1</v>
      </c>
      <c r="C7" s="24">
        <v>1</v>
      </c>
      <c r="D7" s="1" t="s">
        <v>120</v>
      </c>
      <c r="E7">
        <f>VLOOKUP(TRUE,B7:C8,2)</f>
        <v>1</v>
      </c>
    </row>
    <row r="8" spans="1:5" x14ac:dyDescent="0.25">
      <c r="A8" s="1"/>
      <c r="B8" t="b">
        <v>0</v>
      </c>
      <c r="C8" s="29">
        <v>4.4028679999999998</v>
      </c>
      <c r="D8" s="1" t="s">
        <v>121</v>
      </c>
    </row>
    <row r="9" spans="1:5" x14ac:dyDescent="0.25">
      <c r="A9" s="1"/>
      <c r="C9" s="24"/>
    </row>
    <row r="10" spans="1:5" x14ac:dyDescent="0.25">
      <c r="A10" s="1" t="s">
        <v>112</v>
      </c>
      <c r="B10" t="b">
        <v>1</v>
      </c>
      <c r="C10" s="24"/>
    </row>
    <row r="11" spans="1:5" x14ac:dyDescent="0.25">
      <c r="B11" t="b">
        <v>0</v>
      </c>
      <c r="C11" s="24"/>
    </row>
    <row r="12" spans="1:5" x14ac:dyDescent="0.25">
      <c r="C12" s="24"/>
    </row>
    <row r="13" spans="1:5" x14ac:dyDescent="0.25">
      <c r="C13" s="24"/>
    </row>
    <row r="14" spans="1:5" x14ac:dyDescent="0.25">
      <c r="C14" s="24"/>
    </row>
    <row r="15" spans="1:5" x14ac:dyDescent="0.25">
      <c r="C15" s="24"/>
    </row>
    <row r="16" spans="1:5" x14ac:dyDescent="0.25">
      <c r="C16" s="24"/>
    </row>
  </sheetData>
  <customSheetViews>
    <customSheetView guid="{CA5DEE9B-8C07-4C66-8968-31FD351A4FB5}" state="hidden">
      <selection activeCell="B7" sqref="B7"/>
      <pageMargins left="0.7" right="0.7" top="0.78740157499999996" bottom="0.78740157499999996" header="0.3" footer="0.3"/>
    </customSheetView>
  </customSheetView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3:Z34"/>
  <sheetViews>
    <sheetView workbookViewId="0">
      <selection activeCell="C17" sqref="C17:M22"/>
    </sheetView>
  </sheetViews>
  <sheetFormatPr baseColWidth="10" defaultColWidth="11.44140625" defaultRowHeight="14.4" x14ac:dyDescent="0.3"/>
  <cols>
    <col min="1" max="16384" width="11.44140625" style="219"/>
  </cols>
  <sheetData>
    <row r="3" spans="1:15" ht="30" customHeight="1" x14ac:dyDescent="0.3">
      <c r="C3" s="293" t="s">
        <v>610</v>
      </c>
      <c r="D3" s="451" t="s">
        <v>611</v>
      </c>
      <c r="E3" s="451"/>
      <c r="F3" s="451"/>
      <c r="G3" s="451" t="s">
        <v>612</v>
      </c>
      <c r="H3" s="451"/>
      <c r="I3" s="451"/>
      <c r="J3" s="452" t="s">
        <v>613</v>
      </c>
      <c r="K3" s="452"/>
      <c r="L3" s="452"/>
      <c r="M3" s="452"/>
    </row>
    <row r="4" spans="1:15" x14ac:dyDescent="0.3">
      <c r="C4" s="294" t="s">
        <v>3</v>
      </c>
      <c r="D4" s="295" t="s">
        <v>614</v>
      </c>
      <c r="E4" s="295" t="s">
        <v>615</v>
      </c>
      <c r="F4" s="295" t="s">
        <v>616</v>
      </c>
      <c r="G4" s="295" t="s">
        <v>614</v>
      </c>
      <c r="H4" s="295" t="s">
        <v>615</v>
      </c>
      <c r="I4" s="295" t="s">
        <v>616</v>
      </c>
      <c r="J4" s="293" t="s">
        <v>614</v>
      </c>
      <c r="K4" s="293" t="s">
        <v>615</v>
      </c>
      <c r="L4" s="293" t="s">
        <v>616</v>
      </c>
      <c r="M4" s="293" t="s">
        <v>617</v>
      </c>
    </row>
    <row r="5" spans="1:15" x14ac:dyDescent="0.3">
      <c r="A5" s="304">
        <v>1</v>
      </c>
      <c r="B5" s="304">
        <v>2</v>
      </c>
      <c r="C5" s="303">
        <v>3</v>
      </c>
      <c r="D5" s="304">
        <v>4</v>
      </c>
      <c r="E5" s="304">
        <v>5</v>
      </c>
      <c r="F5" s="303">
        <v>6</v>
      </c>
      <c r="G5" s="304">
        <v>7</v>
      </c>
      <c r="H5" s="304">
        <v>8</v>
      </c>
      <c r="I5" s="303">
        <v>9</v>
      </c>
      <c r="J5" s="304">
        <v>10</v>
      </c>
      <c r="K5" s="304">
        <v>11</v>
      </c>
      <c r="L5" s="303">
        <v>12</v>
      </c>
      <c r="M5" s="304">
        <v>13</v>
      </c>
      <c r="N5" s="304">
        <v>14</v>
      </c>
      <c r="O5" s="303">
        <v>15</v>
      </c>
    </row>
    <row r="6" spans="1:15" x14ac:dyDescent="0.3">
      <c r="A6" s="241">
        <v>0.75</v>
      </c>
      <c r="B6" s="296" t="s">
        <v>504</v>
      </c>
      <c r="C6" s="297">
        <v>0.75</v>
      </c>
      <c r="D6" s="298">
        <v>0.72099999999999997</v>
      </c>
      <c r="E6" s="298">
        <v>0.72099999999999997</v>
      </c>
      <c r="F6" s="298">
        <v>0.7</v>
      </c>
      <c r="G6" s="298">
        <v>0.77400000000000002</v>
      </c>
      <c r="H6" s="298">
        <v>0.79599999999999993</v>
      </c>
      <c r="I6" s="298">
        <v>0.75900000000000001</v>
      </c>
      <c r="J6" s="299">
        <v>0.80700000000000005</v>
      </c>
      <c r="K6" s="299">
        <v>0.82499999999999996</v>
      </c>
      <c r="L6" s="299">
        <v>0.78900000000000003</v>
      </c>
      <c r="M6" s="305">
        <v>0.80700000000000005</v>
      </c>
      <c r="O6" s="300">
        <v>0.78</v>
      </c>
    </row>
    <row r="7" spans="1:15" x14ac:dyDescent="0.3">
      <c r="A7" s="241">
        <v>1.1000000000000001</v>
      </c>
      <c r="B7" s="296" t="s">
        <v>505</v>
      </c>
      <c r="C7" s="297">
        <v>1.1000000000000001</v>
      </c>
      <c r="D7" s="298">
        <v>0.75</v>
      </c>
      <c r="E7" s="298">
        <v>0.75</v>
      </c>
      <c r="F7" s="298">
        <v>0.72900000000000009</v>
      </c>
      <c r="G7" s="298">
        <v>0.79599999999999993</v>
      </c>
      <c r="H7" s="298">
        <v>0.81400000000000006</v>
      </c>
      <c r="I7" s="298">
        <v>0.78099999999999992</v>
      </c>
      <c r="J7" s="299">
        <v>0.82700000000000007</v>
      </c>
      <c r="K7" s="299">
        <v>0.84099999999999997</v>
      </c>
      <c r="L7" s="299">
        <v>0.81</v>
      </c>
      <c r="M7" s="305">
        <v>0.82600000000000007</v>
      </c>
      <c r="O7" s="300">
        <v>0.81</v>
      </c>
    </row>
    <row r="8" spans="1:15" x14ac:dyDescent="0.3">
      <c r="A8" s="241">
        <v>1.5</v>
      </c>
      <c r="B8" s="296" t="s">
        <v>506</v>
      </c>
      <c r="C8" s="297">
        <v>1.5</v>
      </c>
      <c r="D8" s="298">
        <v>0.77200000000000002</v>
      </c>
      <c r="E8" s="298">
        <v>0.77200000000000002</v>
      </c>
      <c r="F8" s="298">
        <v>0.752</v>
      </c>
      <c r="G8" s="298">
        <v>0.81299999999999994</v>
      </c>
      <c r="H8" s="298">
        <v>0.82799999999999996</v>
      </c>
      <c r="I8" s="298">
        <v>0.79799999999999993</v>
      </c>
      <c r="J8" s="299">
        <v>0.84200000000000008</v>
      </c>
      <c r="K8" s="299">
        <v>0.85299999999999998</v>
      </c>
      <c r="L8" s="299">
        <v>0.82499999999999996</v>
      </c>
      <c r="M8" s="305">
        <v>0.84</v>
      </c>
      <c r="O8" s="300">
        <v>0.82</v>
      </c>
    </row>
    <row r="9" spans="1:15" x14ac:dyDescent="0.3">
      <c r="A9" s="241">
        <v>2.5</v>
      </c>
      <c r="B9" s="296" t="s">
        <v>507</v>
      </c>
      <c r="C9" s="297">
        <v>2.5</v>
      </c>
      <c r="D9" s="298">
        <v>0.79700000000000004</v>
      </c>
      <c r="E9" s="298">
        <v>0.79700000000000004</v>
      </c>
      <c r="F9" s="298">
        <v>0.77700000000000002</v>
      </c>
      <c r="G9" s="298">
        <v>0.83200000000000007</v>
      </c>
      <c r="H9" s="298">
        <v>0.84299999999999997</v>
      </c>
      <c r="I9" s="298">
        <v>0.81799999999999995</v>
      </c>
      <c r="J9" s="299">
        <v>0.8590000000000001</v>
      </c>
      <c r="K9" s="299">
        <v>0.86699999999999999</v>
      </c>
      <c r="L9" s="299">
        <v>0.84299999999999997</v>
      </c>
      <c r="M9" s="305">
        <v>0.85633333333333328</v>
      </c>
      <c r="O9" s="300">
        <v>0.84</v>
      </c>
    </row>
    <row r="10" spans="1:15" x14ac:dyDescent="0.3">
      <c r="A10" s="241">
        <v>3</v>
      </c>
      <c r="B10" s="296" t="s">
        <v>508</v>
      </c>
      <c r="C10" s="297">
        <v>3</v>
      </c>
      <c r="D10" s="298">
        <v>0.81499999999999995</v>
      </c>
      <c r="E10" s="298">
        <v>0.81499999999999995</v>
      </c>
      <c r="F10" s="298">
        <v>0.79700000000000004</v>
      </c>
      <c r="G10" s="298">
        <v>0.84599999999999997</v>
      </c>
      <c r="H10" s="298">
        <v>0.85499999999999998</v>
      </c>
      <c r="I10" s="298">
        <v>0.83299999999999996</v>
      </c>
      <c r="J10" s="299">
        <v>0.871</v>
      </c>
      <c r="K10" s="299">
        <v>0.877</v>
      </c>
      <c r="L10" s="299">
        <v>0.85599999999999998</v>
      </c>
      <c r="M10" s="305">
        <v>0.86799999999999999</v>
      </c>
      <c r="O10" s="300">
        <v>0.85</v>
      </c>
    </row>
    <row r="11" spans="1:15" x14ac:dyDescent="0.3">
      <c r="A11" s="241">
        <v>4</v>
      </c>
      <c r="B11" s="296" t="s">
        <v>509</v>
      </c>
      <c r="C11" s="297">
        <v>4</v>
      </c>
      <c r="D11" s="298">
        <v>0.83099999999999996</v>
      </c>
      <c r="E11" s="298">
        <v>0.83099999999999996</v>
      </c>
      <c r="F11" s="298">
        <v>0.81400000000000006</v>
      </c>
      <c r="G11" s="298">
        <v>0.85799999999999998</v>
      </c>
      <c r="H11" s="298">
        <v>0.86599999999999999</v>
      </c>
      <c r="I11" s="298">
        <v>0.84599999999999997</v>
      </c>
      <c r="J11" s="299">
        <v>0.88099999999999989</v>
      </c>
      <c r="K11" s="299">
        <v>0.8859999999999999</v>
      </c>
      <c r="L11" s="299">
        <v>0.86799999999999999</v>
      </c>
      <c r="M11" s="305">
        <v>0.8783333333333333</v>
      </c>
      <c r="O11" s="300">
        <v>0.86</v>
      </c>
    </row>
    <row r="12" spans="1:15" x14ac:dyDescent="0.3">
      <c r="A12" s="241">
        <v>5.5</v>
      </c>
      <c r="B12" s="296" t="s">
        <v>510</v>
      </c>
      <c r="C12" s="297">
        <v>5.5</v>
      </c>
      <c r="D12" s="298">
        <v>0.84699999999999998</v>
      </c>
      <c r="E12" s="298">
        <v>0.84699999999999998</v>
      </c>
      <c r="F12" s="298">
        <v>0.83099999999999996</v>
      </c>
      <c r="G12" s="298">
        <v>0.87</v>
      </c>
      <c r="H12" s="298">
        <v>0.877</v>
      </c>
      <c r="I12" s="298">
        <v>0.86</v>
      </c>
      <c r="J12" s="299">
        <v>0.89200000000000002</v>
      </c>
      <c r="K12" s="299">
        <v>0.89599999999999991</v>
      </c>
      <c r="L12" s="299">
        <v>0.88</v>
      </c>
      <c r="M12" s="305">
        <v>0.8893333333333332</v>
      </c>
      <c r="O12" s="300">
        <v>0.88</v>
      </c>
    </row>
    <row r="13" spans="1:15" x14ac:dyDescent="0.3">
      <c r="A13" s="241">
        <v>7.5</v>
      </c>
      <c r="B13" s="296" t="s">
        <v>511</v>
      </c>
      <c r="C13" s="297">
        <v>7.5</v>
      </c>
      <c r="D13" s="298">
        <v>0.86</v>
      </c>
      <c r="E13" s="298">
        <v>0.86</v>
      </c>
      <c r="F13" s="298">
        <v>0.84699999999999998</v>
      </c>
      <c r="G13" s="298">
        <v>0.88099999999999989</v>
      </c>
      <c r="H13" s="298">
        <v>0.88700000000000001</v>
      </c>
      <c r="I13" s="298">
        <v>0.872</v>
      </c>
      <c r="J13" s="299">
        <v>0.90099999999999991</v>
      </c>
      <c r="K13" s="299">
        <v>0.90400000000000003</v>
      </c>
      <c r="L13" s="299">
        <v>0.8909999999999999</v>
      </c>
      <c r="M13" s="305">
        <v>0.89866666666666661</v>
      </c>
      <c r="O13" s="300">
        <v>0.89</v>
      </c>
    </row>
    <row r="14" spans="1:15" x14ac:dyDescent="0.3">
      <c r="A14" s="241">
        <v>11</v>
      </c>
      <c r="B14" s="296" t="s">
        <v>512</v>
      </c>
      <c r="C14" s="297">
        <v>11</v>
      </c>
      <c r="D14" s="298">
        <v>0.87599999999999989</v>
      </c>
      <c r="E14" s="298">
        <v>0.87599999999999989</v>
      </c>
      <c r="F14" s="298">
        <v>0.8640000000000001</v>
      </c>
      <c r="G14" s="298">
        <v>0.89400000000000002</v>
      </c>
      <c r="H14" s="298">
        <v>0.89800000000000002</v>
      </c>
      <c r="I14" s="298">
        <v>0.88700000000000001</v>
      </c>
      <c r="J14" s="299">
        <v>0.91200000000000003</v>
      </c>
      <c r="K14" s="299">
        <v>0.91400000000000003</v>
      </c>
      <c r="L14" s="299">
        <v>0.90300000000000002</v>
      </c>
      <c r="M14" s="305">
        <v>0.90966666666666673</v>
      </c>
      <c r="O14" s="300">
        <v>0.9</v>
      </c>
    </row>
    <row r="15" spans="1:15" x14ac:dyDescent="0.3">
      <c r="A15" s="241">
        <v>15</v>
      </c>
      <c r="B15" s="296" t="s">
        <v>513</v>
      </c>
      <c r="C15" s="297">
        <v>15</v>
      </c>
      <c r="D15" s="298">
        <v>0.88700000000000001</v>
      </c>
      <c r="E15" s="298">
        <v>0.88700000000000001</v>
      </c>
      <c r="F15" s="298">
        <v>0.877</v>
      </c>
      <c r="G15" s="298">
        <v>0.90300000000000002</v>
      </c>
      <c r="H15" s="298">
        <v>0.90599999999999992</v>
      </c>
      <c r="I15" s="298">
        <v>0.89700000000000002</v>
      </c>
      <c r="J15" s="299">
        <v>0.91900000000000004</v>
      </c>
      <c r="K15" s="299">
        <v>0.92099999999999993</v>
      </c>
      <c r="L15" s="299">
        <v>0.91200000000000003</v>
      </c>
      <c r="M15" s="305">
        <v>0.91733333333333322</v>
      </c>
      <c r="O15" s="300">
        <v>0.91</v>
      </c>
    </row>
    <row r="16" spans="1:15" x14ac:dyDescent="0.3">
      <c r="A16" s="241">
        <v>18.5</v>
      </c>
      <c r="B16" s="296" t="s">
        <v>514</v>
      </c>
      <c r="C16" s="297">
        <v>18.5</v>
      </c>
      <c r="D16" s="298">
        <v>0.89300000000000002</v>
      </c>
      <c r="E16" s="298">
        <v>0.89300000000000002</v>
      </c>
      <c r="F16" s="298">
        <v>0.8859999999999999</v>
      </c>
      <c r="G16" s="298">
        <v>0.90900000000000003</v>
      </c>
      <c r="H16" s="298">
        <v>0.91200000000000003</v>
      </c>
      <c r="I16" s="298">
        <v>0.90400000000000003</v>
      </c>
      <c r="J16" s="299">
        <v>0.92400000000000004</v>
      </c>
      <c r="K16" s="299">
        <v>0.92599999999999993</v>
      </c>
      <c r="L16" s="299">
        <v>0.91700000000000004</v>
      </c>
      <c r="M16" s="305">
        <v>0.92233333333333345</v>
      </c>
      <c r="O16" s="300">
        <v>0.91</v>
      </c>
    </row>
    <row r="17" spans="1:15" x14ac:dyDescent="0.3">
      <c r="A17" s="241">
        <v>22</v>
      </c>
      <c r="B17" s="296" t="s">
        <v>515</v>
      </c>
      <c r="C17" s="297">
        <v>22</v>
      </c>
      <c r="D17" s="298">
        <v>0.89900000000000002</v>
      </c>
      <c r="E17" s="298">
        <v>0.89900000000000002</v>
      </c>
      <c r="F17" s="298">
        <v>0.89200000000000002</v>
      </c>
      <c r="G17" s="298">
        <v>0.91299999999999992</v>
      </c>
      <c r="H17" s="298">
        <v>0.91599999999999993</v>
      </c>
      <c r="I17" s="298">
        <v>0.90900000000000003</v>
      </c>
      <c r="J17" s="299">
        <v>0.92700000000000005</v>
      </c>
      <c r="K17" s="299">
        <v>0.93</v>
      </c>
      <c r="L17" s="299">
        <v>0.92200000000000004</v>
      </c>
      <c r="M17" s="305">
        <v>0.92633333333333345</v>
      </c>
      <c r="O17" s="300">
        <v>0.92</v>
      </c>
    </row>
    <row r="18" spans="1:15" x14ac:dyDescent="0.3">
      <c r="A18" s="241">
        <v>30</v>
      </c>
      <c r="B18" s="296" t="s">
        <v>516</v>
      </c>
      <c r="C18" s="297">
        <v>30</v>
      </c>
      <c r="D18" s="298">
        <v>0.90700000000000003</v>
      </c>
      <c r="E18" s="298">
        <v>0.90700000000000003</v>
      </c>
      <c r="F18" s="298">
        <v>0.90200000000000002</v>
      </c>
      <c r="G18" s="298">
        <v>0.92</v>
      </c>
      <c r="H18" s="298">
        <v>0.92299999999999993</v>
      </c>
      <c r="I18" s="298">
        <v>0.91700000000000004</v>
      </c>
      <c r="J18" s="299">
        <v>0.93299999999999994</v>
      </c>
      <c r="K18" s="299">
        <v>0.93599999999999994</v>
      </c>
      <c r="L18" s="299">
        <v>0.92900000000000005</v>
      </c>
      <c r="M18" s="305">
        <v>0.93266666666666664</v>
      </c>
      <c r="O18" s="300">
        <v>0.92</v>
      </c>
    </row>
    <row r="19" spans="1:15" x14ac:dyDescent="0.3">
      <c r="A19" s="241">
        <v>37</v>
      </c>
      <c r="B19" s="296" t="s">
        <v>517</v>
      </c>
      <c r="C19" s="297">
        <v>37</v>
      </c>
      <c r="D19" s="298">
        <v>0.91200000000000003</v>
      </c>
      <c r="E19" s="298">
        <v>0.91200000000000003</v>
      </c>
      <c r="F19" s="298">
        <v>0.90799999999999992</v>
      </c>
      <c r="G19" s="298">
        <v>0.92500000000000004</v>
      </c>
      <c r="H19" s="298">
        <v>0.92700000000000005</v>
      </c>
      <c r="I19" s="298">
        <v>0.92200000000000004</v>
      </c>
      <c r="J19" s="299">
        <v>0.93700000000000006</v>
      </c>
      <c r="K19" s="299">
        <v>0.93900000000000006</v>
      </c>
      <c r="L19" s="299">
        <v>0.93299999999999994</v>
      </c>
      <c r="M19" s="305">
        <v>0.93633333333333335</v>
      </c>
      <c r="O19" s="300">
        <v>0.93</v>
      </c>
    </row>
    <row r="20" spans="1:15" x14ac:dyDescent="0.3">
      <c r="A20" s="241">
        <v>45</v>
      </c>
      <c r="B20" s="296" t="s">
        <v>518</v>
      </c>
      <c r="C20" s="297">
        <v>45</v>
      </c>
      <c r="D20" s="298">
        <v>0.91700000000000004</v>
      </c>
      <c r="E20" s="298">
        <v>0.91700000000000004</v>
      </c>
      <c r="F20" s="298">
        <v>0.91400000000000003</v>
      </c>
      <c r="G20" s="298">
        <v>0.92900000000000005</v>
      </c>
      <c r="H20" s="298">
        <v>0.93099999999999994</v>
      </c>
      <c r="I20" s="298">
        <v>0.92700000000000005</v>
      </c>
      <c r="J20" s="299">
        <v>0.94</v>
      </c>
      <c r="K20" s="299">
        <v>0.94200000000000006</v>
      </c>
      <c r="L20" s="299">
        <v>0.93700000000000006</v>
      </c>
      <c r="M20" s="305">
        <v>0.93966666666666665</v>
      </c>
      <c r="O20" s="300">
        <v>0.93</v>
      </c>
    </row>
    <row r="21" spans="1:15" x14ac:dyDescent="0.3">
      <c r="A21" s="241">
        <v>55</v>
      </c>
      <c r="B21" s="296" t="s">
        <v>519</v>
      </c>
      <c r="C21" s="297">
        <v>55</v>
      </c>
      <c r="D21" s="298">
        <v>0.92099999999999993</v>
      </c>
      <c r="E21" s="298">
        <v>0.92099999999999993</v>
      </c>
      <c r="F21" s="298">
        <v>0.91900000000000004</v>
      </c>
      <c r="G21" s="298">
        <v>0.93200000000000005</v>
      </c>
      <c r="H21" s="298">
        <v>0.93500000000000005</v>
      </c>
      <c r="I21" s="298">
        <v>0.93099999999999994</v>
      </c>
      <c r="J21" s="299">
        <v>0.94299999999999995</v>
      </c>
      <c r="K21" s="299">
        <v>0.94599999999999995</v>
      </c>
      <c r="L21" s="299">
        <v>0.94099999999999995</v>
      </c>
      <c r="M21" s="305">
        <v>0.94333333333333325</v>
      </c>
      <c r="O21" s="300">
        <v>0.94</v>
      </c>
    </row>
    <row r="22" spans="1:15" x14ac:dyDescent="0.3">
      <c r="A22" s="241">
        <v>75</v>
      </c>
      <c r="B22" s="296" t="s">
        <v>520</v>
      </c>
      <c r="C22" s="297">
        <v>75</v>
      </c>
      <c r="D22" s="298">
        <v>0.92700000000000005</v>
      </c>
      <c r="E22" s="298">
        <v>0.92700000000000005</v>
      </c>
      <c r="F22" s="298">
        <v>0.92599999999999993</v>
      </c>
      <c r="G22" s="298">
        <v>0.93799999999999994</v>
      </c>
      <c r="H22" s="298">
        <v>0.94</v>
      </c>
      <c r="I22" s="298">
        <v>0.93700000000000006</v>
      </c>
      <c r="J22" s="299">
        <v>0.94700000000000006</v>
      </c>
      <c r="K22" s="299">
        <v>0.95</v>
      </c>
      <c r="L22" s="299">
        <v>0.94599999999999995</v>
      </c>
      <c r="M22" s="305">
        <v>0.94766666666666666</v>
      </c>
      <c r="O22" s="300">
        <v>0.94</v>
      </c>
    </row>
    <row r="23" spans="1:15" x14ac:dyDescent="0.3">
      <c r="A23" s="241">
        <v>90</v>
      </c>
      <c r="B23" s="296" t="s">
        <v>521</v>
      </c>
      <c r="C23" s="297">
        <v>90</v>
      </c>
      <c r="D23" s="298">
        <v>0.93</v>
      </c>
      <c r="E23" s="298">
        <v>0.93</v>
      </c>
      <c r="F23" s="298">
        <v>0.92900000000000005</v>
      </c>
      <c r="G23" s="298">
        <v>0.94099999999999995</v>
      </c>
      <c r="H23" s="298">
        <v>0.94200000000000006</v>
      </c>
      <c r="I23" s="298">
        <v>0.94</v>
      </c>
      <c r="J23" s="299">
        <v>0.95</v>
      </c>
      <c r="K23" s="299">
        <v>0.95200000000000007</v>
      </c>
      <c r="L23" s="299">
        <v>0.94900000000000007</v>
      </c>
      <c r="M23" s="305">
        <v>0.95033333333333336</v>
      </c>
      <c r="O23" s="300">
        <v>0.94</v>
      </c>
    </row>
    <row r="24" spans="1:15" x14ac:dyDescent="0.3">
      <c r="A24" s="242">
        <v>110</v>
      </c>
      <c r="B24" s="296" t="s">
        <v>522</v>
      </c>
      <c r="C24" s="297">
        <v>110</v>
      </c>
      <c r="D24" s="298">
        <v>0.93299999999999994</v>
      </c>
      <c r="E24" s="298">
        <v>0.93299999999999994</v>
      </c>
      <c r="F24" s="298">
        <v>0.93299999999999994</v>
      </c>
      <c r="G24" s="298">
        <v>0.94299999999999995</v>
      </c>
      <c r="H24" s="298">
        <v>0.94499999999999995</v>
      </c>
      <c r="I24" s="298">
        <v>0.94299999999999995</v>
      </c>
      <c r="J24" s="299">
        <v>0.95200000000000007</v>
      </c>
      <c r="K24" s="299">
        <v>0.95400000000000007</v>
      </c>
      <c r="L24" s="299">
        <v>0.95099999999999996</v>
      </c>
      <c r="M24" s="305">
        <v>0.95233333333333337</v>
      </c>
      <c r="O24" s="300">
        <v>0.95</v>
      </c>
    </row>
    <row r="25" spans="1:15" x14ac:dyDescent="0.3">
      <c r="A25" s="242">
        <v>132</v>
      </c>
      <c r="B25" s="296" t="s">
        <v>523</v>
      </c>
      <c r="C25" s="297">
        <v>132</v>
      </c>
      <c r="D25" s="298">
        <v>0.93500000000000005</v>
      </c>
      <c r="E25" s="298">
        <v>0.93500000000000005</v>
      </c>
      <c r="F25" s="298">
        <v>0.93500000000000005</v>
      </c>
      <c r="G25" s="298">
        <v>0.94599999999999995</v>
      </c>
      <c r="H25" s="298">
        <v>0.94700000000000006</v>
      </c>
      <c r="I25" s="298">
        <v>0.94599999999999995</v>
      </c>
      <c r="J25" s="299">
        <v>0.95400000000000007</v>
      </c>
      <c r="K25" s="299">
        <v>0.95599999999999996</v>
      </c>
      <c r="L25" s="299">
        <v>0.95400000000000007</v>
      </c>
      <c r="M25" s="305">
        <v>0.95466666666666677</v>
      </c>
      <c r="O25" s="300">
        <v>0.95</v>
      </c>
    </row>
    <row r="26" spans="1:15" x14ac:dyDescent="0.3">
      <c r="A26" s="242">
        <v>160</v>
      </c>
      <c r="B26" s="296" t="s">
        <v>524</v>
      </c>
      <c r="C26" s="297">
        <v>160</v>
      </c>
      <c r="D26" s="298">
        <v>0.93799999999999994</v>
      </c>
      <c r="E26" s="298">
        <v>0.93799999999999994</v>
      </c>
      <c r="F26" s="298">
        <v>0.93799999999999994</v>
      </c>
      <c r="G26" s="298">
        <v>0.94799999999999995</v>
      </c>
      <c r="H26" s="298">
        <v>0.94900000000000007</v>
      </c>
      <c r="I26" s="298">
        <v>0.94799999999999995</v>
      </c>
      <c r="J26" s="299">
        <v>0.95599999999999996</v>
      </c>
      <c r="K26" s="299">
        <v>0.95799999999999996</v>
      </c>
      <c r="L26" s="299">
        <v>0.95599999999999996</v>
      </c>
      <c r="M26" s="305">
        <v>0.95666666666666667</v>
      </c>
      <c r="O26" s="300">
        <v>0.95</v>
      </c>
    </row>
    <row r="27" spans="1:15" x14ac:dyDescent="0.3">
      <c r="A27" s="242">
        <v>200</v>
      </c>
      <c r="B27" s="296" t="s">
        <v>525</v>
      </c>
      <c r="C27" s="297">
        <v>200</v>
      </c>
      <c r="D27" s="298">
        <v>0.94</v>
      </c>
      <c r="E27" s="298">
        <v>0.94</v>
      </c>
      <c r="F27" s="298">
        <v>0.94</v>
      </c>
      <c r="G27" s="298">
        <v>0.95</v>
      </c>
      <c r="H27" s="298">
        <v>0.95099999999999996</v>
      </c>
      <c r="I27" s="298">
        <v>0.95</v>
      </c>
      <c r="J27" s="299">
        <v>0.95799999999999996</v>
      </c>
      <c r="K27" s="299">
        <v>0.96</v>
      </c>
      <c r="L27" s="299">
        <v>0.95799999999999996</v>
      </c>
      <c r="M27" s="305">
        <v>0.95866666666666667</v>
      </c>
      <c r="O27" s="300">
        <v>0.95</v>
      </c>
    </row>
    <row r="28" spans="1:15" x14ac:dyDescent="0.3">
      <c r="A28" s="242">
        <v>250</v>
      </c>
      <c r="B28" s="296" t="s">
        <v>526</v>
      </c>
      <c r="C28" s="297">
        <v>250</v>
      </c>
      <c r="D28" s="298">
        <v>0.94</v>
      </c>
      <c r="E28" s="298">
        <v>0.94</v>
      </c>
      <c r="F28" s="298">
        <v>0.94</v>
      </c>
      <c r="G28" s="298">
        <v>0.95</v>
      </c>
      <c r="H28" s="298">
        <v>0.95099999999999996</v>
      </c>
      <c r="I28" s="298">
        <v>0.95</v>
      </c>
      <c r="J28" s="299">
        <v>0.95799999999999996</v>
      </c>
      <c r="K28" s="299">
        <v>0.96</v>
      </c>
      <c r="L28" s="299">
        <v>0.95799999999999996</v>
      </c>
      <c r="M28" s="305">
        <v>0.95866666666666667</v>
      </c>
      <c r="O28" s="300">
        <v>0.95</v>
      </c>
    </row>
    <row r="29" spans="1:15" x14ac:dyDescent="0.3">
      <c r="A29" s="242">
        <v>315</v>
      </c>
      <c r="B29" s="296" t="s">
        <v>527</v>
      </c>
      <c r="C29" s="297">
        <v>315</v>
      </c>
      <c r="D29" s="298">
        <v>0.94</v>
      </c>
      <c r="E29" s="298">
        <v>0.94</v>
      </c>
      <c r="F29" s="298">
        <v>0.94</v>
      </c>
      <c r="G29" s="298">
        <v>0.95</v>
      </c>
      <c r="H29" s="298">
        <v>0.95099999999999996</v>
      </c>
      <c r="I29" s="298">
        <v>0.95</v>
      </c>
      <c r="J29" s="299">
        <v>0.95799999999999996</v>
      </c>
      <c r="K29" s="299">
        <v>0.96</v>
      </c>
      <c r="L29" s="299">
        <v>0.95799999999999996</v>
      </c>
      <c r="M29" s="305">
        <v>0.95866666666666667</v>
      </c>
      <c r="O29" s="300">
        <v>0.95</v>
      </c>
    </row>
    <row r="30" spans="1:15" x14ac:dyDescent="0.3">
      <c r="C30" s="297">
        <v>355</v>
      </c>
      <c r="D30" s="298">
        <v>0.94</v>
      </c>
      <c r="E30" s="298">
        <v>0.94</v>
      </c>
      <c r="F30" s="298">
        <v>0.94</v>
      </c>
      <c r="G30" s="298">
        <v>0.95</v>
      </c>
      <c r="H30" s="298">
        <v>0.95099999999999996</v>
      </c>
      <c r="I30" s="298">
        <v>0.95</v>
      </c>
      <c r="J30" s="299">
        <v>0.95799999999999996</v>
      </c>
      <c r="K30" s="299">
        <v>0.96</v>
      </c>
      <c r="L30" s="299">
        <v>0.95799999999999996</v>
      </c>
      <c r="M30" s="305">
        <v>0.95866666666666667</v>
      </c>
    </row>
    <row r="31" spans="1:15" x14ac:dyDescent="0.3">
      <c r="C31" s="301">
        <v>375</v>
      </c>
      <c r="D31" s="298">
        <v>0.94</v>
      </c>
      <c r="E31" s="298">
        <v>0.94</v>
      </c>
      <c r="F31" s="298">
        <v>0.94</v>
      </c>
      <c r="G31" s="298">
        <v>0.95</v>
      </c>
      <c r="H31" s="298">
        <v>0.95099999999999996</v>
      </c>
      <c r="I31" s="298">
        <v>0.95</v>
      </c>
      <c r="J31" s="299">
        <v>0.95799999999999996</v>
      </c>
      <c r="K31" s="299">
        <v>0.96</v>
      </c>
      <c r="L31" s="299">
        <v>0.95799999999999996</v>
      </c>
      <c r="M31" s="305">
        <v>0.95866666666666667</v>
      </c>
    </row>
    <row r="34" spans="3:26" x14ac:dyDescent="0.3">
      <c r="C34" s="300">
        <v>0.78</v>
      </c>
      <c r="D34" s="300">
        <v>0.81</v>
      </c>
      <c r="E34" s="300">
        <v>0.82</v>
      </c>
      <c r="F34" s="300">
        <v>0.84</v>
      </c>
      <c r="G34" s="300">
        <v>0.85</v>
      </c>
      <c r="H34" s="300">
        <v>0.86</v>
      </c>
      <c r="I34" s="300">
        <v>0.88</v>
      </c>
      <c r="J34" s="300">
        <v>0.89</v>
      </c>
      <c r="K34" s="300">
        <v>0.9</v>
      </c>
      <c r="L34" s="300">
        <v>0.91</v>
      </c>
      <c r="M34" s="300">
        <v>0.91</v>
      </c>
      <c r="N34" s="300">
        <v>0.92</v>
      </c>
      <c r="O34" s="300">
        <v>0.92</v>
      </c>
      <c r="P34" s="300">
        <v>0.93</v>
      </c>
      <c r="Q34" s="300">
        <v>0.93</v>
      </c>
      <c r="R34" s="300">
        <v>0.94</v>
      </c>
      <c r="S34" s="300">
        <v>0.94</v>
      </c>
      <c r="T34" s="300">
        <v>0.94</v>
      </c>
      <c r="U34" s="300">
        <v>0.95</v>
      </c>
      <c r="V34" s="300">
        <v>0.95</v>
      </c>
      <c r="W34" s="300">
        <v>0.95</v>
      </c>
      <c r="X34" s="300">
        <v>0.95</v>
      </c>
      <c r="Y34" s="300">
        <v>0.95</v>
      </c>
      <c r="Z34" s="300">
        <v>0.95</v>
      </c>
    </row>
  </sheetData>
  <mergeCells count="3">
    <mergeCell ref="D3:F3"/>
    <mergeCell ref="G3:I3"/>
    <mergeCell ref="J3:M3"/>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7</vt:i4>
      </vt:variant>
    </vt:vector>
  </HeadingPairs>
  <TitlesOfParts>
    <vt:vector size="18" baseType="lpstr">
      <vt:lpstr>Overview_Salino_cleaned</vt:lpstr>
      <vt:lpstr>manual</vt:lpstr>
      <vt:lpstr>Inquiry Form</vt:lpstr>
      <vt:lpstr>Design Tool</vt:lpstr>
      <vt:lpstr>Data Sheet</vt:lpstr>
      <vt:lpstr>Flow_Characteristic</vt:lpstr>
      <vt:lpstr>Berechnungen</vt:lpstr>
      <vt:lpstr>Units</vt:lpstr>
      <vt:lpstr>IE3 Motoren</vt:lpstr>
      <vt:lpstr>Quotation data</vt:lpstr>
      <vt:lpstr>Identnumbers</vt:lpstr>
      <vt:lpstr>'Design Tool'!Druckbereich</vt:lpstr>
      <vt:lpstr>'Inquiry Form'!Druckbereich</vt:lpstr>
      <vt:lpstr>FU</vt:lpstr>
      <vt:lpstr>maxoppress</vt:lpstr>
      <vt:lpstr>Motor</vt:lpstr>
      <vt:lpstr>Recovery_Rate</vt:lpstr>
      <vt:lpstr>RR</vt:lpstr>
    </vt:vector>
  </TitlesOfParts>
  <Company>KSB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Auslegungstool</dc:title>
  <dc:subject>SALINO</dc:subject>
  <dc:creator>Sven Hoffmann</dc:creator>
  <cp:keywords>RO-Desalination</cp:keywords>
  <cp:lastModifiedBy>Tobias Schmucker</cp:lastModifiedBy>
  <cp:lastPrinted>2020-03-11T12:09:50Z</cp:lastPrinted>
  <dcterms:created xsi:type="dcterms:W3CDTF">2011-10-28T14:26:07Z</dcterms:created>
  <dcterms:modified xsi:type="dcterms:W3CDTF">2021-03-20T14:33:41Z</dcterms:modified>
</cp:coreProperties>
</file>